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maiya\โครงสร้างรหัสมาตรฐาน\"/>
    </mc:Choice>
  </mc:AlternateContent>
  <bookViews>
    <workbookView xWindow="0" yWindow="0" windowWidth="19200" windowHeight="11640"/>
  </bookViews>
  <sheets>
    <sheet name="CPA 2011 NSO Version ปี 2554 ฉบ" sheetId="1" r:id="rId1"/>
  </sheets>
  <calcPr calcId="0"/>
</workbook>
</file>

<file path=xl/calcChain.xml><?xml version="1.0" encoding="utf-8"?>
<calcChain xmlns="http://schemas.openxmlformats.org/spreadsheetml/2006/main">
  <c r="B3" i="1" l="1"/>
  <c r="C4" i="1"/>
  <c r="D5" i="1"/>
  <c r="E6" i="1"/>
  <c r="F7" i="1"/>
  <c r="G8" i="1"/>
  <c r="F9" i="1"/>
  <c r="G10" i="1"/>
  <c r="E11" i="1"/>
  <c r="F12" i="1"/>
  <c r="G13" i="1"/>
  <c r="G14" i="1"/>
  <c r="F15" i="1"/>
  <c r="G16" i="1"/>
  <c r="G17" i="1"/>
  <c r="G18" i="1"/>
  <c r="F19" i="1"/>
  <c r="G20" i="1"/>
  <c r="G21" i="1"/>
  <c r="G22" i="1"/>
  <c r="F23" i="1"/>
  <c r="G24" i="1"/>
  <c r="E25" i="1"/>
  <c r="F26" i="1"/>
  <c r="G27" i="1"/>
  <c r="G28" i="1"/>
  <c r="G29" i="1"/>
  <c r="F30" i="1"/>
  <c r="G31" i="1"/>
  <c r="G32" i="1"/>
  <c r="G33" i="1"/>
  <c r="G34" i="1"/>
  <c r="G35" i="1"/>
  <c r="G36" i="1"/>
  <c r="E37" i="1"/>
  <c r="F38" i="1"/>
  <c r="G39" i="1"/>
  <c r="E40" i="1"/>
  <c r="F41" i="1"/>
  <c r="G42" i="1"/>
  <c r="G43" i="1"/>
  <c r="F44" i="1"/>
  <c r="G45" i="1"/>
  <c r="F46" i="1"/>
  <c r="G47" i="1"/>
  <c r="G48" i="1"/>
  <c r="G49" i="1"/>
  <c r="G50" i="1"/>
  <c r="G51" i="1"/>
  <c r="G52" i="1"/>
  <c r="G53" i="1"/>
  <c r="D54" i="1"/>
  <c r="E55" i="1"/>
  <c r="F56" i="1"/>
  <c r="G57" i="1"/>
  <c r="F58" i="1"/>
  <c r="G59" i="1"/>
  <c r="E60" i="1"/>
  <c r="F61" i="1"/>
  <c r="G62" i="1"/>
  <c r="F63" i="1"/>
  <c r="G64" i="1"/>
  <c r="D65" i="1"/>
  <c r="E66" i="1"/>
  <c r="F67" i="1"/>
  <c r="G68" i="1"/>
  <c r="G69" i="1"/>
  <c r="G70" i="1"/>
  <c r="G71" i="1"/>
  <c r="G72" i="1"/>
  <c r="G73" i="1"/>
  <c r="G74" i="1"/>
  <c r="G75" i="1"/>
  <c r="F76" i="1"/>
  <c r="G77" i="1"/>
  <c r="E78" i="1"/>
  <c r="F79" i="1"/>
  <c r="G80" i="1"/>
  <c r="G81" i="1"/>
  <c r="F82" i="1"/>
  <c r="G83" i="1"/>
  <c r="G84" i="1"/>
  <c r="G85" i="1"/>
  <c r="G86" i="1"/>
  <c r="G87" i="1"/>
  <c r="F88" i="1"/>
  <c r="G89" i="1"/>
  <c r="E90" i="1"/>
  <c r="F91" i="1"/>
  <c r="G92" i="1"/>
  <c r="G93" i="1"/>
  <c r="G94" i="1"/>
  <c r="G95" i="1"/>
  <c r="G96" i="1"/>
  <c r="F97" i="1"/>
  <c r="G98" i="1"/>
  <c r="E99" i="1"/>
  <c r="F100" i="1"/>
  <c r="G101" i="1"/>
  <c r="G102" i="1"/>
  <c r="G103" i="1"/>
  <c r="F104" i="1"/>
  <c r="G105" i="1"/>
  <c r="E106" i="1"/>
  <c r="F107" i="1"/>
  <c r="G108" i="1"/>
  <c r="E109" i="1"/>
  <c r="F110" i="1"/>
  <c r="G111" i="1"/>
  <c r="E112" i="1"/>
  <c r="F113" i="1"/>
  <c r="G114" i="1"/>
  <c r="G115" i="1"/>
  <c r="F116" i="1"/>
  <c r="G117" i="1"/>
  <c r="G118" i="1"/>
  <c r="D119" i="1"/>
  <c r="E120" i="1"/>
  <c r="F121" i="1"/>
  <c r="G122" i="1"/>
  <c r="D123" i="1"/>
  <c r="E124" i="1"/>
  <c r="F125" i="1"/>
  <c r="G126" i="1"/>
  <c r="D127" i="1"/>
  <c r="E128" i="1"/>
  <c r="F129" i="1"/>
  <c r="G130" i="1"/>
  <c r="E131" i="1"/>
  <c r="F132" i="1"/>
  <c r="G133" i="1"/>
  <c r="G134" i="1"/>
  <c r="D135" i="1"/>
  <c r="E136" i="1"/>
  <c r="F137" i="1"/>
  <c r="G138" i="1"/>
  <c r="F139" i="1"/>
  <c r="G140" i="1"/>
  <c r="E141" i="1"/>
  <c r="F142" i="1"/>
  <c r="G143" i="1"/>
  <c r="G144" i="1"/>
  <c r="F145" i="1"/>
  <c r="G146" i="1"/>
  <c r="E147" i="1"/>
  <c r="F148" i="1"/>
  <c r="G149" i="1"/>
  <c r="F150" i="1"/>
  <c r="G151" i="1"/>
  <c r="E152" i="1"/>
  <c r="F153" i="1"/>
  <c r="G154" i="1"/>
  <c r="F155" i="1"/>
  <c r="G156" i="1"/>
  <c r="E157" i="1"/>
  <c r="F158" i="1"/>
  <c r="G159" i="1"/>
  <c r="G160" i="1"/>
  <c r="C161" i="1"/>
  <c r="D162" i="1"/>
  <c r="E163" i="1"/>
  <c r="F164" i="1"/>
  <c r="G165" i="1"/>
  <c r="D166" i="1"/>
  <c r="E167" i="1"/>
  <c r="F168" i="1"/>
  <c r="G169" i="1"/>
  <c r="E170" i="1"/>
  <c r="F171" i="1"/>
  <c r="G172" i="1"/>
  <c r="E173" i="1"/>
  <c r="F174" i="1"/>
  <c r="G175" i="1"/>
  <c r="E176" i="1"/>
  <c r="F177" i="1"/>
  <c r="G178" i="1"/>
  <c r="E179" i="1"/>
  <c r="F180" i="1"/>
  <c r="G181" i="1"/>
  <c r="E182" i="1"/>
  <c r="F183" i="1"/>
  <c r="G184" i="1"/>
  <c r="E185" i="1"/>
  <c r="F186" i="1"/>
  <c r="G187" i="1"/>
  <c r="E188" i="1"/>
  <c r="F189" i="1"/>
  <c r="G190" i="1"/>
  <c r="E191" i="1"/>
  <c r="F192" i="1"/>
  <c r="G193" i="1"/>
  <c r="G194" i="1"/>
  <c r="G195" i="1"/>
  <c r="G196" i="1"/>
  <c r="G197" i="1"/>
  <c r="D198" i="1"/>
  <c r="E199" i="1"/>
  <c r="F200" i="1"/>
  <c r="G201" i="1"/>
  <c r="G202" i="1"/>
  <c r="E203" i="1"/>
  <c r="F204" i="1"/>
  <c r="G205" i="1"/>
  <c r="G206" i="1"/>
  <c r="G207" i="1"/>
  <c r="D208" i="1"/>
  <c r="E209" i="1"/>
  <c r="F210" i="1"/>
  <c r="G211" i="1"/>
  <c r="G212" i="1"/>
  <c r="G213" i="1"/>
  <c r="E214" i="1"/>
  <c r="F215" i="1"/>
  <c r="G216" i="1"/>
  <c r="G217" i="1"/>
  <c r="G218" i="1"/>
  <c r="G219" i="1"/>
  <c r="G220" i="1"/>
  <c r="G221" i="1"/>
  <c r="G222" i="1"/>
  <c r="D223" i="1"/>
  <c r="E224" i="1"/>
  <c r="F225" i="1"/>
  <c r="G226" i="1"/>
  <c r="G227" i="1"/>
  <c r="G228" i="1"/>
  <c r="G229" i="1"/>
  <c r="G230" i="1"/>
  <c r="G231" i="1"/>
  <c r="G232" i="1"/>
  <c r="E233" i="1"/>
  <c r="F234" i="1"/>
  <c r="G235" i="1"/>
  <c r="G236" i="1"/>
  <c r="G237" i="1"/>
  <c r="G238" i="1"/>
  <c r="E239" i="1"/>
  <c r="F240" i="1"/>
  <c r="G241" i="1"/>
  <c r="G242" i="1"/>
  <c r="F243" i="1"/>
  <c r="G244" i="1"/>
  <c r="D245" i="1"/>
  <c r="E246" i="1"/>
  <c r="F247" i="1"/>
  <c r="G248" i="1"/>
  <c r="E249" i="1"/>
  <c r="F250" i="1"/>
  <c r="G251" i="1"/>
  <c r="E252" i="1"/>
  <c r="F253" i="1"/>
  <c r="G254" i="1"/>
  <c r="G255" i="1"/>
  <c r="D256" i="1"/>
  <c r="E257" i="1"/>
  <c r="F258" i="1"/>
  <c r="G259" i="1"/>
  <c r="G260" i="1"/>
  <c r="E261" i="1"/>
  <c r="F262" i="1"/>
  <c r="G263" i="1"/>
  <c r="E264" i="1"/>
  <c r="F265" i="1"/>
  <c r="G266" i="1"/>
  <c r="G267" i="1"/>
  <c r="D268" i="1"/>
  <c r="E269" i="1"/>
  <c r="F270" i="1"/>
  <c r="G271" i="1"/>
  <c r="G272" i="1"/>
  <c r="E273" i="1"/>
  <c r="F274" i="1"/>
  <c r="G275" i="1"/>
  <c r="E276" i="1"/>
  <c r="F277" i="1"/>
  <c r="G278" i="1"/>
  <c r="G279" i="1"/>
  <c r="G280" i="1"/>
  <c r="G281" i="1"/>
  <c r="G282" i="1"/>
  <c r="G283" i="1"/>
  <c r="G284" i="1"/>
  <c r="G285" i="1"/>
  <c r="F286" i="1"/>
  <c r="G287" i="1"/>
  <c r="D288" i="1"/>
  <c r="E289" i="1"/>
  <c r="F290" i="1"/>
  <c r="G291" i="1"/>
  <c r="E292" i="1"/>
  <c r="F293" i="1"/>
  <c r="G294" i="1"/>
  <c r="E295" i="1"/>
  <c r="F296" i="1"/>
  <c r="G297" i="1"/>
  <c r="G298" i="1"/>
  <c r="C299" i="1"/>
  <c r="D300" i="1"/>
  <c r="E301" i="1"/>
  <c r="F302" i="1"/>
  <c r="G303" i="1"/>
  <c r="E304" i="1"/>
  <c r="F305" i="1"/>
  <c r="G306" i="1"/>
  <c r="G307" i="1"/>
  <c r="C308" i="1"/>
  <c r="D309" i="1"/>
  <c r="E310" i="1"/>
  <c r="F311" i="1"/>
  <c r="G312" i="1"/>
  <c r="G313" i="1"/>
  <c r="G314" i="1"/>
  <c r="F315" i="1"/>
  <c r="G316" i="1"/>
  <c r="G317" i="1"/>
  <c r="G318" i="1"/>
  <c r="G319" i="1"/>
  <c r="G320" i="1"/>
  <c r="E321" i="1"/>
  <c r="F322" i="1"/>
  <c r="G323" i="1"/>
  <c r="G324" i="1"/>
  <c r="G325" i="1"/>
  <c r="F326" i="1"/>
  <c r="G327" i="1"/>
  <c r="G328" i="1"/>
  <c r="G329" i="1"/>
  <c r="G330" i="1"/>
  <c r="G331" i="1"/>
  <c r="E332" i="1"/>
  <c r="F333" i="1"/>
  <c r="G334" i="1"/>
  <c r="G335" i="1"/>
  <c r="G336" i="1"/>
  <c r="F337" i="1"/>
  <c r="G338" i="1"/>
  <c r="G339" i="1"/>
  <c r="G340" i="1"/>
  <c r="G341" i="1"/>
  <c r="D342" i="1"/>
  <c r="E343" i="1"/>
  <c r="F344" i="1"/>
  <c r="G345" i="1"/>
  <c r="F346" i="1"/>
  <c r="G347" i="1"/>
  <c r="G348" i="1"/>
  <c r="G349" i="1"/>
  <c r="G350" i="1"/>
  <c r="D351" i="1"/>
  <c r="E352" i="1"/>
  <c r="F353" i="1"/>
  <c r="G354" i="1"/>
  <c r="F355" i="1"/>
  <c r="G356" i="1"/>
  <c r="G357" i="1"/>
  <c r="G358" i="1"/>
  <c r="G359" i="1"/>
  <c r="D360" i="1"/>
  <c r="E361" i="1"/>
  <c r="F362" i="1"/>
  <c r="G363" i="1"/>
  <c r="F364" i="1"/>
  <c r="G365" i="1"/>
  <c r="G366" i="1"/>
  <c r="G367" i="1"/>
  <c r="G368" i="1"/>
  <c r="G369" i="1"/>
  <c r="E370" i="1"/>
  <c r="F371" i="1"/>
  <c r="G372" i="1"/>
  <c r="F373" i="1"/>
  <c r="G374" i="1"/>
  <c r="G375" i="1"/>
  <c r="G376" i="1"/>
  <c r="G377" i="1"/>
  <c r="D378" i="1"/>
  <c r="E379" i="1"/>
  <c r="F380" i="1"/>
  <c r="G381" i="1"/>
  <c r="F382" i="1"/>
  <c r="G383" i="1"/>
  <c r="G384" i="1"/>
  <c r="D385" i="1"/>
  <c r="E386" i="1"/>
  <c r="F387" i="1"/>
  <c r="G388" i="1"/>
  <c r="F389" i="1"/>
  <c r="G390" i="1"/>
  <c r="G391" i="1"/>
  <c r="E392" i="1"/>
  <c r="F393" i="1"/>
  <c r="G394" i="1"/>
  <c r="F395" i="1"/>
  <c r="G396" i="1"/>
  <c r="E397" i="1"/>
  <c r="F398" i="1"/>
  <c r="G399" i="1"/>
  <c r="F400" i="1"/>
  <c r="G401" i="1"/>
  <c r="G402" i="1"/>
  <c r="E403" i="1"/>
  <c r="F404" i="1"/>
  <c r="G405" i="1"/>
  <c r="G406" i="1"/>
  <c r="G407" i="1"/>
  <c r="F408" i="1"/>
  <c r="G409" i="1"/>
  <c r="G410" i="1"/>
  <c r="D411" i="1"/>
  <c r="E412" i="1"/>
  <c r="F413" i="1"/>
  <c r="G414" i="1"/>
  <c r="F415" i="1"/>
  <c r="G416" i="1"/>
  <c r="G417" i="1"/>
  <c r="G418" i="1"/>
  <c r="G419" i="1"/>
  <c r="E420" i="1"/>
  <c r="F421" i="1"/>
  <c r="G422" i="1"/>
  <c r="F423" i="1"/>
  <c r="G424" i="1"/>
  <c r="G425" i="1"/>
  <c r="G426" i="1"/>
  <c r="G427" i="1"/>
  <c r="E428" i="1"/>
  <c r="F429" i="1"/>
  <c r="G430" i="1"/>
  <c r="F431" i="1"/>
  <c r="G432" i="1"/>
  <c r="G433" i="1"/>
  <c r="E434" i="1"/>
  <c r="F435" i="1"/>
  <c r="G436" i="1"/>
  <c r="F437" i="1"/>
  <c r="G438" i="1"/>
  <c r="G439" i="1"/>
  <c r="E440" i="1"/>
  <c r="F441" i="1"/>
  <c r="G442" i="1"/>
  <c r="E443" i="1"/>
  <c r="F444" i="1"/>
  <c r="G445" i="1"/>
  <c r="G446" i="1"/>
  <c r="G447" i="1"/>
  <c r="F448" i="1"/>
  <c r="G449" i="1"/>
  <c r="G450" i="1"/>
  <c r="E451" i="1"/>
  <c r="F452" i="1"/>
  <c r="G453" i="1"/>
  <c r="G454" i="1"/>
  <c r="G455" i="1"/>
  <c r="G456" i="1"/>
  <c r="G457" i="1"/>
  <c r="G458" i="1"/>
  <c r="F459" i="1"/>
  <c r="G460" i="1"/>
  <c r="G461" i="1"/>
  <c r="C462" i="1"/>
  <c r="D463" i="1"/>
  <c r="E464" i="1"/>
  <c r="F465" i="1"/>
  <c r="G466" i="1"/>
  <c r="C467" i="1"/>
  <c r="D468" i="1"/>
  <c r="E469" i="1"/>
  <c r="F470" i="1"/>
  <c r="G471" i="1"/>
  <c r="E472" i="1"/>
  <c r="F473" i="1"/>
  <c r="G474" i="1"/>
  <c r="E475" i="1"/>
  <c r="F476" i="1"/>
  <c r="G477" i="1"/>
  <c r="D478" i="1"/>
  <c r="E479" i="1"/>
  <c r="F480" i="1"/>
  <c r="G481" i="1"/>
  <c r="E482" i="1"/>
  <c r="F483" i="1"/>
  <c r="G484" i="1"/>
  <c r="D485" i="1"/>
  <c r="E486" i="1"/>
  <c r="F487" i="1"/>
  <c r="G488" i="1"/>
  <c r="D489" i="1"/>
  <c r="E490" i="1"/>
  <c r="F491" i="1"/>
  <c r="G492" i="1"/>
  <c r="C493" i="1"/>
  <c r="D494" i="1"/>
  <c r="E495" i="1"/>
  <c r="F496" i="1"/>
  <c r="G497" i="1"/>
  <c r="B498" i="1"/>
  <c r="C499" i="1"/>
  <c r="D500" i="1"/>
  <c r="E501" i="1"/>
  <c r="F502" i="1"/>
  <c r="G503" i="1"/>
  <c r="G504" i="1"/>
  <c r="F505" i="1"/>
  <c r="G506" i="1"/>
  <c r="F507" i="1"/>
  <c r="G508" i="1"/>
  <c r="C509" i="1"/>
  <c r="D510" i="1"/>
  <c r="E511" i="1"/>
  <c r="F512" i="1"/>
  <c r="G513" i="1"/>
  <c r="G514" i="1"/>
  <c r="G515" i="1"/>
  <c r="G516" i="1"/>
  <c r="G517" i="1"/>
  <c r="C518" i="1"/>
  <c r="D519" i="1"/>
  <c r="E520" i="1"/>
  <c r="F521" i="1"/>
  <c r="G522" i="1"/>
  <c r="G523" i="1"/>
  <c r="F524" i="1"/>
  <c r="G525" i="1"/>
  <c r="F526" i="1"/>
  <c r="G527" i="1"/>
  <c r="G528" i="1"/>
  <c r="G529" i="1"/>
  <c r="F530" i="1"/>
  <c r="G531" i="1"/>
  <c r="F532" i="1"/>
  <c r="G533" i="1"/>
  <c r="C534" i="1"/>
  <c r="D535" i="1"/>
  <c r="E536" i="1"/>
  <c r="F537" i="1"/>
  <c r="G538" i="1"/>
  <c r="B539" i="1"/>
  <c r="C540" i="1"/>
  <c r="D541" i="1"/>
  <c r="E542" i="1"/>
  <c r="F543" i="1"/>
  <c r="G544" i="1"/>
  <c r="G545" i="1"/>
  <c r="F546" i="1"/>
  <c r="G547" i="1"/>
  <c r="E548" i="1"/>
  <c r="F549" i="1"/>
  <c r="G550" i="1"/>
  <c r="F551" i="1"/>
  <c r="G552" i="1"/>
  <c r="E553" i="1"/>
  <c r="F554" i="1"/>
  <c r="G555" i="1"/>
  <c r="F556" i="1"/>
  <c r="G557" i="1"/>
  <c r="E558" i="1"/>
  <c r="F559" i="1"/>
  <c r="G560" i="1"/>
  <c r="F561" i="1"/>
  <c r="G562" i="1"/>
  <c r="E563" i="1"/>
  <c r="F564" i="1"/>
  <c r="G565" i="1"/>
  <c r="G566" i="1"/>
  <c r="F567" i="1"/>
  <c r="G568" i="1"/>
  <c r="E569" i="1"/>
  <c r="F570" i="1"/>
  <c r="G571" i="1"/>
  <c r="G572" i="1"/>
  <c r="G573" i="1"/>
  <c r="G574" i="1"/>
  <c r="G575" i="1"/>
  <c r="G576" i="1"/>
  <c r="F577" i="1"/>
  <c r="G578" i="1"/>
  <c r="D579" i="1"/>
  <c r="E580" i="1"/>
  <c r="F581" i="1"/>
  <c r="G582" i="1"/>
  <c r="G583" i="1"/>
  <c r="F584" i="1"/>
  <c r="G585" i="1"/>
  <c r="E586" i="1"/>
  <c r="F587" i="1"/>
  <c r="G588" i="1"/>
  <c r="F589" i="1"/>
  <c r="G590" i="1"/>
  <c r="E591" i="1"/>
  <c r="F592" i="1"/>
  <c r="G593" i="1"/>
  <c r="G594" i="1"/>
  <c r="G595" i="1"/>
  <c r="G596" i="1"/>
  <c r="G597" i="1"/>
  <c r="G598" i="1"/>
  <c r="F599" i="1"/>
  <c r="G600" i="1"/>
  <c r="C601" i="1"/>
  <c r="D602" i="1"/>
  <c r="E603" i="1"/>
  <c r="F604" i="1"/>
  <c r="G605" i="1"/>
  <c r="G606" i="1"/>
  <c r="F607" i="1"/>
  <c r="G608" i="1"/>
  <c r="E609" i="1"/>
  <c r="F610" i="1"/>
  <c r="G611" i="1"/>
  <c r="F612" i="1"/>
  <c r="G613" i="1"/>
  <c r="E614" i="1"/>
  <c r="F615" i="1"/>
  <c r="G616" i="1"/>
  <c r="G617" i="1"/>
  <c r="F618" i="1"/>
  <c r="G619" i="1"/>
  <c r="E620" i="1"/>
  <c r="F621" i="1"/>
  <c r="G622" i="1"/>
  <c r="G623" i="1"/>
  <c r="F624" i="1"/>
  <c r="G625" i="1"/>
  <c r="E626" i="1"/>
  <c r="F627" i="1"/>
  <c r="G628" i="1"/>
  <c r="G629" i="1"/>
  <c r="G630" i="1"/>
  <c r="G631" i="1"/>
  <c r="G632" i="1"/>
  <c r="G633" i="1"/>
  <c r="F634" i="1"/>
  <c r="G635" i="1"/>
  <c r="D636" i="1"/>
  <c r="E637" i="1"/>
  <c r="F638" i="1"/>
  <c r="G639" i="1"/>
  <c r="G640" i="1"/>
  <c r="F641" i="1"/>
  <c r="G642" i="1"/>
  <c r="E643" i="1"/>
  <c r="F644" i="1"/>
  <c r="G645" i="1"/>
  <c r="F646" i="1"/>
  <c r="G647" i="1"/>
  <c r="E648" i="1"/>
  <c r="F649" i="1"/>
  <c r="G650" i="1"/>
  <c r="F651" i="1"/>
  <c r="G652" i="1"/>
  <c r="E653" i="1"/>
  <c r="F654" i="1"/>
  <c r="G655" i="1"/>
  <c r="F656" i="1"/>
  <c r="G657" i="1"/>
  <c r="E658" i="1"/>
  <c r="F659" i="1"/>
  <c r="G660" i="1"/>
  <c r="G661" i="1"/>
  <c r="F662" i="1"/>
  <c r="G663" i="1"/>
  <c r="E664" i="1"/>
  <c r="F665" i="1"/>
  <c r="G666" i="1"/>
  <c r="G667" i="1"/>
  <c r="G668" i="1"/>
  <c r="G669" i="1"/>
  <c r="G670" i="1"/>
  <c r="G671" i="1"/>
  <c r="F672" i="1"/>
  <c r="G673" i="1"/>
  <c r="B675" i="1"/>
  <c r="C676" i="1"/>
  <c r="D677" i="1"/>
  <c r="E678" i="1"/>
  <c r="F679" i="1"/>
  <c r="G680" i="1"/>
  <c r="C681" i="1"/>
  <c r="D682" i="1"/>
  <c r="E683" i="1"/>
  <c r="F684" i="1"/>
  <c r="G685" i="1"/>
  <c r="B686" i="1"/>
  <c r="C687" i="1"/>
  <c r="D688" i="1"/>
  <c r="E689" i="1"/>
  <c r="F690" i="1"/>
  <c r="G691" i="1"/>
  <c r="F692" i="1"/>
  <c r="G693" i="1"/>
  <c r="C694" i="1"/>
  <c r="D695" i="1"/>
  <c r="E696" i="1"/>
  <c r="F697" i="1"/>
  <c r="G698" i="1"/>
  <c r="B699" i="1"/>
  <c r="C700" i="1"/>
  <c r="D701" i="1"/>
  <c r="E702" i="1"/>
  <c r="F703" i="1"/>
  <c r="G704" i="1"/>
  <c r="C705" i="1"/>
  <c r="D706" i="1"/>
  <c r="E707" i="1"/>
  <c r="F708" i="1"/>
  <c r="G709" i="1"/>
  <c r="D710" i="1"/>
  <c r="E711" i="1"/>
  <c r="F712" i="1"/>
  <c r="G713" i="1"/>
  <c r="E714" i="1"/>
  <c r="F715" i="1"/>
  <c r="G716" i="1"/>
  <c r="E717" i="1"/>
  <c r="F718" i="1"/>
  <c r="G719" i="1"/>
  <c r="F720" i="1"/>
  <c r="G721" i="1"/>
  <c r="F722" i="1"/>
  <c r="G723" i="1"/>
  <c r="F724" i="1"/>
  <c r="G725" i="1"/>
  <c r="F726" i="1"/>
  <c r="G727" i="1"/>
  <c r="C728" i="1"/>
  <c r="D729" i="1"/>
  <c r="E730" i="1"/>
  <c r="F731" i="1"/>
  <c r="G732" i="1"/>
  <c r="B733" i="1"/>
  <c r="C734" i="1"/>
  <c r="D735" i="1"/>
  <c r="E736" i="1"/>
  <c r="F737" i="1"/>
  <c r="G738" i="1"/>
  <c r="F739" i="1"/>
  <c r="G740" i="1"/>
  <c r="F741" i="1"/>
  <c r="G742" i="1"/>
  <c r="E743" i="1"/>
  <c r="F744" i="1"/>
  <c r="G745" i="1"/>
  <c r="F746" i="1"/>
  <c r="G747" i="1"/>
  <c r="E748" i="1"/>
  <c r="F749" i="1"/>
  <c r="G750" i="1"/>
  <c r="G751" i="1"/>
  <c r="G752" i="1"/>
  <c r="E753" i="1"/>
  <c r="F754" i="1"/>
  <c r="G755" i="1"/>
  <c r="G756" i="1"/>
  <c r="C757" i="1"/>
  <c r="D758" i="1"/>
  <c r="E759" i="1"/>
  <c r="F760" i="1"/>
  <c r="G761" i="1"/>
  <c r="G762" i="1"/>
  <c r="G763" i="1"/>
  <c r="D764" i="1"/>
  <c r="E765" i="1"/>
  <c r="F766" i="1"/>
  <c r="G767" i="1"/>
  <c r="D768" i="1"/>
  <c r="E769" i="1"/>
  <c r="F770" i="1"/>
  <c r="G771" i="1"/>
  <c r="E772" i="1"/>
  <c r="F773" i="1"/>
  <c r="G774" i="1"/>
  <c r="D775" i="1"/>
  <c r="E776" i="1"/>
  <c r="F777" i="1"/>
  <c r="G778" i="1"/>
  <c r="G779" i="1"/>
  <c r="E780" i="1"/>
  <c r="F781" i="1"/>
  <c r="G782" i="1"/>
  <c r="F783" i="1"/>
  <c r="G784" i="1"/>
  <c r="G785" i="1"/>
  <c r="B786" i="1"/>
  <c r="C787" i="1"/>
  <c r="D788" i="1"/>
  <c r="E789" i="1"/>
  <c r="F790" i="1"/>
  <c r="G791" i="1"/>
  <c r="G792" i="1"/>
  <c r="G793" i="1"/>
  <c r="C794" i="1"/>
  <c r="D795" i="1"/>
  <c r="E796" i="1"/>
  <c r="F797" i="1"/>
  <c r="G798" i="1"/>
  <c r="G799" i="1"/>
  <c r="B801" i="1"/>
  <c r="C802" i="1"/>
  <c r="D803" i="1"/>
  <c r="E804" i="1"/>
  <c r="F805" i="1"/>
  <c r="G806" i="1"/>
  <c r="G807" i="1"/>
  <c r="G808" i="1"/>
  <c r="G809" i="1"/>
  <c r="F810" i="1"/>
  <c r="G811" i="1"/>
  <c r="G812" i="1"/>
  <c r="G813" i="1"/>
  <c r="G814" i="1"/>
  <c r="F815" i="1"/>
  <c r="G816" i="1"/>
  <c r="G817" i="1"/>
  <c r="G818" i="1"/>
  <c r="G819" i="1"/>
  <c r="F820" i="1"/>
  <c r="G821" i="1"/>
  <c r="G822" i="1"/>
  <c r="G823" i="1"/>
  <c r="G824" i="1"/>
  <c r="F825" i="1"/>
  <c r="G826" i="1"/>
  <c r="G827" i="1"/>
  <c r="G828" i="1"/>
  <c r="F829" i="1"/>
  <c r="G830" i="1"/>
  <c r="G831" i="1"/>
  <c r="F832" i="1"/>
  <c r="G833" i="1"/>
  <c r="F834" i="1"/>
  <c r="G835" i="1"/>
  <c r="F836" i="1"/>
  <c r="G837" i="1"/>
  <c r="E838" i="1"/>
  <c r="F839" i="1"/>
  <c r="G840" i="1"/>
  <c r="G841" i="1"/>
  <c r="G842" i="1"/>
  <c r="G843" i="1"/>
  <c r="F844" i="1"/>
  <c r="G845" i="1"/>
  <c r="G846" i="1"/>
  <c r="G847" i="1"/>
  <c r="G848" i="1"/>
  <c r="F849" i="1"/>
  <c r="G850" i="1"/>
  <c r="D851" i="1"/>
  <c r="E852" i="1"/>
  <c r="F853" i="1"/>
  <c r="G854" i="1"/>
  <c r="G855" i="1"/>
  <c r="G856" i="1"/>
  <c r="G857" i="1"/>
  <c r="F858" i="1"/>
  <c r="G859" i="1"/>
  <c r="G860" i="1"/>
  <c r="G861" i="1"/>
  <c r="G862" i="1"/>
  <c r="F863" i="1"/>
  <c r="G864" i="1"/>
  <c r="F865" i="1"/>
  <c r="G866" i="1"/>
  <c r="F867" i="1"/>
  <c r="G868" i="1"/>
  <c r="F869" i="1"/>
  <c r="G870" i="1"/>
  <c r="D871" i="1"/>
  <c r="E872" i="1"/>
  <c r="F873" i="1"/>
  <c r="G874" i="1"/>
  <c r="G875" i="1"/>
  <c r="G876" i="1"/>
  <c r="F877" i="1"/>
  <c r="G878" i="1"/>
  <c r="E879" i="1"/>
  <c r="F880" i="1"/>
  <c r="G881" i="1"/>
  <c r="F882" i="1"/>
  <c r="G883" i="1"/>
  <c r="E884" i="1"/>
  <c r="F885" i="1"/>
  <c r="G886" i="1"/>
  <c r="F887" i="1"/>
  <c r="G888" i="1"/>
  <c r="E889" i="1"/>
  <c r="F890" i="1"/>
  <c r="G891" i="1"/>
  <c r="G892" i="1"/>
  <c r="G893" i="1"/>
  <c r="F894" i="1"/>
  <c r="G895" i="1"/>
  <c r="F896" i="1"/>
  <c r="G897" i="1"/>
  <c r="F898" i="1"/>
  <c r="G899" i="1"/>
  <c r="G900" i="1"/>
  <c r="G901" i="1"/>
  <c r="F902" i="1"/>
  <c r="G903" i="1"/>
  <c r="F904" i="1"/>
  <c r="G905" i="1"/>
  <c r="E906" i="1"/>
  <c r="F907" i="1"/>
  <c r="G908" i="1"/>
  <c r="F909" i="1"/>
  <c r="G910" i="1"/>
  <c r="C911" i="1"/>
  <c r="D912" i="1"/>
  <c r="E913" i="1"/>
  <c r="F914" i="1"/>
  <c r="G915" i="1"/>
  <c r="G916" i="1"/>
  <c r="G917" i="1"/>
  <c r="G918" i="1"/>
  <c r="F919" i="1"/>
  <c r="G920" i="1"/>
  <c r="E921" i="1"/>
  <c r="F922" i="1"/>
  <c r="G923" i="1"/>
  <c r="G924" i="1"/>
  <c r="G925" i="1"/>
  <c r="F926" i="1"/>
  <c r="G927" i="1"/>
  <c r="D928" i="1"/>
  <c r="E929" i="1"/>
  <c r="F930" i="1"/>
  <c r="G931" i="1"/>
  <c r="F932" i="1"/>
  <c r="G933" i="1"/>
  <c r="E934" i="1"/>
  <c r="F935" i="1"/>
  <c r="G936" i="1"/>
  <c r="G937" i="1"/>
  <c r="F938" i="1"/>
  <c r="G939" i="1"/>
  <c r="D940" i="1"/>
  <c r="E941" i="1"/>
  <c r="F942" i="1"/>
  <c r="G943" i="1"/>
  <c r="G944" i="1"/>
  <c r="G945" i="1"/>
  <c r="G946" i="1"/>
  <c r="F947" i="1"/>
  <c r="G948" i="1"/>
  <c r="G949" i="1"/>
  <c r="G950" i="1"/>
  <c r="F951" i="1"/>
  <c r="G952" i="1"/>
  <c r="E953" i="1"/>
  <c r="F954" i="1"/>
  <c r="G955" i="1"/>
  <c r="G956" i="1"/>
  <c r="F957" i="1"/>
  <c r="G958" i="1"/>
  <c r="G959" i="1"/>
  <c r="F960" i="1"/>
  <c r="G961" i="1"/>
  <c r="E962" i="1"/>
  <c r="F963" i="1"/>
  <c r="G964" i="1"/>
  <c r="G965" i="1"/>
  <c r="F966" i="1"/>
  <c r="G967" i="1"/>
  <c r="G968" i="1"/>
  <c r="G969" i="1"/>
  <c r="F970" i="1"/>
  <c r="G971" i="1"/>
  <c r="E972" i="1"/>
  <c r="F973" i="1"/>
  <c r="G974" i="1"/>
  <c r="F975" i="1"/>
  <c r="G976" i="1"/>
  <c r="E977" i="1"/>
  <c r="F978" i="1"/>
  <c r="G979" i="1"/>
  <c r="E980" i="1"/>
  <c r="F981" i="1"/>
  <c r="G982" i="1"/>
  <c r="G983" i="1"/>
  <c r="G984" i="1"/>
  <c r="F985" i="1"/>
  <c r="G986" i="1"/>
  <c r="C987" i="1"/>
  <c r="D988" i="1"/>
  <c r="E989" i="1"/>
  <c r="F990" i="1"/>
  <c r="G991" i="1"/>
  <c r="F992" i="1"/>
  <c r="G993" i="1"/>
  <c r="F994" i="1"/>
  <c r="G995" i="1"/>
  <c r="F996" i="1"/>
  <c r="G997" i="1"/>
  <c r="E998" i="1"/>
  <c r="F999" i="1"/>
  <c r="G1000" i="1"/>
  <c r="G1001" i="1"/>
  <c r="G1002" i="1"/>
  <c r="G1003" i="1"/>
  <c r="F1004" i="1"/>
  <c r="G1005" i="1"/>
  <c r="G1006" i="1"/>
  <c r="G1007" i="1"/>
  <c r="F1008" i="1"/>
  <c r="G1009" i="1"/>
  <c r="F1010" i="1"/>
  <c r="G1011" i="1"/>
  <c r="E1012" i="1"/>
  <c r="F1013" i="1"/>
  <c r="G1014" i="1"/>
  <c r="G1015" i="1"/>
  <c r="G1016" i="1"/>
  <c r="F1017" i="1"/>
  <c r="G1018" i="1"/>
  <c r="G1019" i="1"/>
  <c r="G1020" i="1"/>
  <c r="G1021" i="1"/>
  <c r="G1022" i="1"/>
  <c r="G1023" i="1"/>
  <c r="G1024" i="1"/>
  <c r="F1025" i="1"/>
  <c r="G1026" i="1"/>
  <c r="F1027" i="1"/>
  <c r="G1028" i="1"/>
  <c r="F1029" i="1"/>
  <c r="G1030" i="1"/>
  <c r="E1031" i="1"/>
  <c r="F1032" i="1"/>
  <c r="G1033" i="1"/>
  <c r="F1034" i="1"/>
  <c r="G1035" i="1"/>
  <c r="G1036" i="1"/>
  <c r="F1037" i="1"/>
  <c r="G1038" i="1"/>
  <c r="F1039" i="1"/>
  <c r="G1040" i="1"/>
  <c r="G1041" i="1"/>
  <c r="G1042" i="1"/>
  <c r="F1043" i="1"/>
  <c r="G1044" i="1"/>
  <c r="F1045" i="1"/>
  <c r="G1046" i="1"/>
  <c r="G1047" i="1"/>
  <c r="F1048" i="1"/>
  <c r="G1049" i="1"/>
  <c r="F1050" i="1"/>
  <c r="G1051" i="1"/>
  <c r="E1052" i="1"/>
  <c r="F1053" i="1"/>
  <c r="G1054" i="1"/>
  <c r="F1055" i="1"/>
  <c r="G1056" i="1"/>
  <c r="F1057" i="1"/>
  <c r="G1058" i="1"/>
  <c r="E1059" i="1"/>
  <c r="F1060" i="1"/>
  <c r="G1061" i="1"/>
  <c r="G1062" i="1"/>
  <c r="G1063" i="1"/>
  <c r="G1064" i="1"/>
  <c r="G1065" i="1"/>
  <c r="F1066" i="1"/>
  <c r="G1067" i="1"/>
  <c r="E1068" i="1"/>
  <c r="F1069" i="1"/>
  <c r="G1070" i="1"/>
  <c r="G1071" i="1"/>
  <c r="G1072" i="1"/>
  <c r="F1073" i="1"/>
  <c r="G1074" i="1"/>
  <c r="F1075" i="1"/>
  <c r="G1076" i="1"/>
  <c r="E1077" i="1"/>
  <c r="F1078" i="1"/>
  <c r="G1079" i="1"/>
  <c r="G1080" i="1"/>
  <c r="G1081" i="1"/>
  <c r="G1082" i="1"/>
  <c r="F1083" i="1"/>
  <c r="G1084" i="1"/>
  <c r="F1085" i="1"/>
  <c r="G1086" i="1"/>
  <c r="C1087" i="1"/>
  <c r="D1088" i="1"/>
  <c r="E1089" i="1"/>
  <c r="F1090" i="1"/>
  <c r="G1091" i="1"/>
  <c r="G1092" i="1"/>
  <c r="G1093" i="1"/>
  <c r="F1094" i="1"/>
  <c r="G1095" i="1"/>
  <c r="F1096" i="1"/>
  <c r="G1097" i="1"/>
  <c r="E1098" i="1"/>
  <c r="F1099" i="1"/>
  <c r="G1100" i="1"/>
  <c r="G1101" i="1"/>
  <c r="G1102" i="1"/>
  <c r="F1103" i="1"/>
  <c r="G1104" i="1"/>
  <c r="F1105" i="1"/>
  <c r="G1106" i="1"/>
  <c r="E1107" i="1"/>
  <c r="F1108" i="1"/>
  <c r="G1109" i="1"/>
  <c r="G1110" i="1"/>
  <c r="G1111" i="1"/>
  <c r="F1112" i="1"/>
  <c r="G1113" i="1"/>
  <c r="F1114" i="1"/>
  <c r="G1115" i="1"/>
  <c r="E1116" i="1"/>
  <c r="F1117" i="1"/>
  <c r="G1118" i="1"/>
  <c r="G1119" i="1"/>
  <c r="G1120" i="1"/>
  <c r="F1121" i="1"/>
  <c r="G1122" i="1"/>
  <c r="F1123" i="1"/>
  <c r="G1124" i="1"/>
  <c r="E1125" i="1"/>
  <c r="F1126" i="1"/>
  <c r="G1127" i="1"/>
  <c r="G1128" i="1"/>
  <c r="G1129" i="1"/>
  <c r="G1130" i="1"/>
  <c r="G1131" i="1"/>
  <c r="G1132" i="1"/>
  <c r="F1133" i="1"/>
  <c r="G1134" i="1"/>
  <c r="G1135" i="1"/>
  <c r="G1136" i="1"/>
  <c r="G1137" i="1"/>
  <c r="G1138" i="1"/>
  <c r="G1139" i="1"/>
  <c r="F1140" i="1"/>
  <c r="G1141" i="1"/>
  <c r="F1142" i="1"/>
  <c r="G1143" i="1"/>
  <c r="G1144" i="1"/>
  <c r="F1145" i="1"/>
  <c r="G1146" i="1"/>
  <c r="D1147" i="1"/>
  <c r="E1148" i="1"/>
  <c r="F1149" i="1"/>
  <c r="G1150" i="1"/>
  <c r="G1151" i="1"/>
  <c r="G1152" i="1"/>
  <c r="F1153" i="1"/>
  <c r="G1154" i="1"/>
  <c r="F1155" i="1"/>
  <c r="G1156" i="1"/>
  <c r="D1157" i="1"/>
  <c r="E1158" i="1"/>
  <c r="F1159" i="1"/>
  <c r="G1160" i="1"/>
  <c r="G1161" i="1"/>
  <c r="G1162" i="1"/>
  <c r="G1163" i="1"/>
  <c r="F1164" i="1"/>
  <c r="G1165" i="1"/>
  <c r="G1166" i="1"/>
  <c r="G1167" i="1"/>
  <c r="F1168" i="1"/>
  <c r="G1169" i="1"/>
  <c r="E1170" i="1"/>
  <c r="F1171" i="1"/>
  <c r="G1172" i="1"/>
  <c r="F1173" i="1"/>
  <c r="G1174" i="1"/>
  <c r="F1175" i="1"/>
  <c r="G1176" i="1"/>
  <c r="G1177" i="1"/>
  <c r="F1178" i="1"/>
  <c r="G1179" i="1"/>
  <c r="C1180" i="1"/>
  <c r="D1181" i="1"/>
  <c r="E1182" i="1"/>
  <c r="F1183" i="1"/>
  <c r="G1184" i="1"/>
  <c r="F1185" i="1"/>
  <c r="G1186" i="1"/>
  <c r="E1187" i="1"/>
  <c r="F1188" i="1"/>
  <c r="G1189" i="1"/>
  <c r="G1190" i="1"/>
  <c r="F1191" i="1"/>
  <c r="G1192" i="1"/>
  <c r="G1193" i="1"/>
  <c r="G1194" i="1"/>
  <c r="F1195" i="1"/>
  <c r="G1196" i="1"/>
  <c r="E1197" i="1"/>
  <c r="F1198" i="1"/>
  <c r="G1199" i="1"/>
  <c r="F1200" i="1"/>
  <c r="G1201" i="1"/>
  <c r="E1202" i="1"/>
  <c r="F1203" i="1"/>
  <c r="G1204" i="1"/>
  <c r="F1205" i="1"/>
  <c r="G1206" i="1"/>
  <c r="E1207" i="1"/>
  <c r="F1208" i="1"/>
  <c r="G1209" i="1"/>
  <c r="G1210" i="1"/>
  <c r="F1211" i="1"/>
  <c r="G1212" i="1"/>
  <c r="E1213" i="1"/>
  <c r="F1214" i="1"/>
  <c r="G1215" i="1"/>
  <c r="F1216" i="1"/>
  <c r="G1217" i="1"/>
  <c r="G1218" i="1"/>
  <c r="G1219" i="1"/>
  <c r="G1220" i="1"/>
  <c r="F1221" i="1"/>
  <c r="G1222" i="1"/>
  <c r="C1223" i="1"/>
  <c r="D1224" i="1"/>
  <c r="E1225" i="1"/>
  <c r="F1226" i="1"/>
  <c r="G1227" i="1"/>
  <c r="G1228" i="1"/>
  <c r="G1229" i="1"/>
  <c r="G1230" i="1"/>
  <c r="F1231" i="1"/>
  <c r="G1232" i="1"/>
  <c r="F1233" i="1"/>
  <c r="G1234" i="1"/>
  <c r="E1235" i="1"/>
  <c r="F1236" i="1"/>
  <c r="G1237" i="1"/>
  <c r="G1238" i="1"/>
  <c r="F1239" i="1"/>
  <c r="G1240" i="1"/>
  <c r="E1241" i="1"/>
  <c r="F1242" i="1"/>
  <c r="G1243" i="1"/>
  <c r="G1244" i="1"/>
  <c r="F1245" i="1"/>
  <c r="G1246" i="1"/>
  <c r="F1247" i="1"/>
  <c r="G1248" i="1"/>
  <c r="E1249" i="1"/>
  <c r="F1250" i="1"/>
  <c r="G1251" i="1"/>
  <c r="G1252" i="1"/>
  <c r="F1253" i="1"/>
  <c r="G1254" i="1"/>
  <c r="F1255" i="1"/>
  <c r="G1256" i="1"/>
  <c r="E1257" i="1"/>
  <c r="F1258" i="1"/>
  <c r="G1259" i="1"/>
  <c r="G1260" i="1"/>
  <c r="G1261" i="1"/>
  <c r="F1262" i="1"/>
  <c r="G1263" i="1"/>
  <c r="F1264" i="1"/>
  <c r="G1265" i="1"/>
  <c r="E1266" i="1"/>
  <c r="F1267" i="1"/>
  <c r="G1268" i="1"/>
  <c r="F1269" i="1"/>
  <c r="G1270" i="1"/>
  <c r="E1271" i="1"/>
  <c r="F1272" i="1"/>
  <c r="G1273" i="1"/>
  <c r="F1274" i="1"/>
  <c r="G1275" i="1"/>
  <c r="E1276" i="1"/>
  <c r="F1277" i="1"/>
  <c r="G1278" i="1"/>
  <c r="G1279" i="1"/>
  <c r="G1280" i="1"/>
  <c r="F1281" i="1"/>
  <c r="G1282" i="1"/>
  <c r="D1283" i="1"/>
  <c r="E1284" i="1"/>
  <c r="F1285" i="1"/>
  <c r="G1286" i="1"/>
  <c r="F1287" i="1"/>
  <c r="G1288" i="1"/>
  <c r="E1289" i="1"/>
  <c r="F1290" i="1"/>
  <c r="G1291" i="1"/>
  <c r="F1292" i="1"/>
  <c r="G1293" i="1"/>
  <c r="F1294" i="1"/>
  <c r="G1295" i="1"/>
  <c r="E1296" i="1"/>
  <c r="F1297" i="1"/>
  <c r="G1298" i="1"/>
  <c r="F1299" i="1"/>
  <c r="G1300" i="1"/>
  <c r="F1301" i="1"/>
  <c r="G1302" i="1"/>
  <c r="E1303" i="1"/>
  <c r="F1304" i="1"/>
  <c r="G1305" i="1"/>
  <c r="G1306" i="1"/>
  <c r="G1307" i="1"/>
  <c r="F1308" i="1"/>
  <c r="G1309" i="1"/>
  <c r="C1310" i="1"/>
  <c r="D1311" i="1"/>
  <c r="E1312" i="1"/>
  <c r="F1313" i="1"/>
  <c r="G1314" i="1"/>
  <c r="G1315" i="1"/>
  <c r="F1316" i="1"/>
  <c r="G1317" i="1"/>
  <c r="E1318" i="1"/>
  <c r="F1319" i="1"/>
  <c r="G1320" i="1"/>
  <c r="F1321" i="1"/>
  <c r="G1322" i="1"/>
  <c r="E1323" i="1"/>
  <c r="F1324" i="1"/>
  <c r="G1325" i="1"/>
  <c r="F1326" i="1"/>
  <c r="G1327" i="1"/>
  <c r="D1328" i="1"/>
  <c r="E1329" i="1"/>
  <c r="F1330" i="1"/>
  <c r="G1331" i="1"/>
  <c r="F1332" i="1"/>
  <c r="G1333" i="1"/>
  <c r="F1334" i="1"/>
  <c r="G1335" i="1"/>
  <c r="E1336" i="1"/>
  <c r="F1337" i="1"/>
  <c r="G1338" i="1"/>
  <c r="G1339" i="1"/>
  <c r="G1340" i="1"/>
  <c r="F1341" i="1"/>
  <c r="G1342" i="1"/>
  <c r="F1343" i="1"/>
  <c r="G1344" i="1"/>
  <c r="E1345" i="1"/>
  <c r="F1346" i="1"/>
  <c r="G1347" i="1"/>
  <c r="G1348" i="1"/>
  <c r="G1349" i="1"/>
  <c r="F1350" i="1"/>
  <c r="G1351" i="1"/>
  <c r="F1352" i="1"/>
  <c r="G1353" i="1"/>
  <c r="D1354" i="1"/>
  <c r="E1355" i="1"/>
  <c r="F1356" i="1"/>
  <c r="G1357" i="1"/>
  <c r="G1358" i="1"/>
  <c r="G1359" i="1"/>
  <c r="F1360" i="1"/>
  <c r="G1361" i="1"/>
  <c r="F1362" i="1"/>
  <c r="G1363" i="1"/>
  <c r="E1364" i="1"/>
  <c r="F1365" i="1"/>
  <c r="G1366" i="1"/>
  <c r="G1367" i="1"/>
  <c r="G1368" i="1"/>
  <c r="F1369" i="1"/>
  <c r="G1370" i="1"/>
  <c r="E1371" i="1"/>
  <c r="F1372" i="1"/>
  <c r="G1373" i="1"/>
  <c r="F1374" i="1"/>
  <c r="G1375" i="1"/>
  <c r="E1376" i="1"/>
  <c r="F1377" i="1"/>
  <c r="G1378" i="1"/>
  <c r="F1379" i="1"/>
  <c r="G1380" i="1"/>
  <c r="E1381" i="1"/>
  <c r="F1382" i="1"/>
  <c r="G1383" i="1"/>
  <c r="F1384" i="1"/>
  <c r="G1385" i="1"/>
  <c r="D1386" i="1"/>
  <c r="E1387" i="1"/>
  <c r="F1388" i="1"/>
  <c r="G1389" i="1"/>
  <c r="G1390" i="1"/>
  <c r="F1391" i="1"/>
  <c r="G1392" i="1"/>
  <c r="E1393" i="1"/>
  <c r="F1394" i="1"/>
  <c r="G1395" i="1"/>
  <c r="F1396" i="1"/>
  <c r="G1397" i="1"/>
  <c r="E1398" i="1"/>
  <c r="F1399" i="1"/>
  <c r="G1400" i="1"/>
  <c r="F1401" i="1"/>
  <c r="G1402" i="1"/>
  <c r="E1403" i="1"/>
  <c r="F1404" i="1"/>
  <c r="G1405" i="1"/>
  <c r="F1406" i="1"/>
  <c r="G1407" i="1"/>
  <c r="D1408" i="1"/>
  <c r="E1409" i="1"/>
  <c r="F1410" i="1"/>
  <c r="G1411" i="1"/>
  <c r="G1412" i="1"/>
  <c r="G1413" i="1"/>
  <c r="G1414" i="1"/>
  <c r="G1415" i="1"/>
  <c r="F1416" i="1"/>
  <c r="G1417" i="1"/>
  <c r="E1418" i="1"/>
  <c r="F1419" i="1"/>
  <c r="G1420" i="1"/>
  <c r="G1421" i="1"/>
  <c r="G1422" i="1"/>
  <c r="G1423" i="1"/>
  <c r="G1424" i="1"/>
  <c r="F1425" i="1"/>
  <c r="G1426" i="1"/>
  <c r="D1427" i="1"/>
  <c r="E1428" i="1"/>
  <c r="F1429" i="1"/>
  <c r="G1430" i="1"/>
  <c r="G1431" i="1"/>
  <c r="F1432" i="1"/>
  <c r="G1433" i="1"/>
  <c r="E1434" i="1"/>
  <c r="F1435" i="1"/>
  <c r="G1436" i="1"/>
  <c r="G1437" i="1"/>
  <c r="F1438" i="1"/>
  <c r="G1439" i="1"/>
  <c r="E1440" i="1"/>
  <c r="F1441" i="1"/>
  <c r="G1442" i="1"/>
  <c r="F1443" i="1"/>
  <c r="G1444" i="1"/>
  <c r="D1445" i="1"/>
  <c r="E1446" i="1"/>
  <c r="F1447" i="1"/>
  <c r="G1448" i="1"/>
  <c r="G1449" i="1"/>
  <c r="G1450" i="1"/>
  <c r="F1451" i="1"/>
  <c r="G1452" i="1"/>
  <c r="E1453" i="1"/>
  <c r="F1454" i="1"/>
  <c r="G1455" i="1"/>
  <c r="G1456" i="1"/>
  <c r="F1457" i="1"/>
  <c r="G1458" i="1"/>
  <c r="E1459" i="1"/>
  <c r="F1460" i="1"/>
  <c r="G1461" i="1"/>
  <c r="F1462" i="1"/>
  <c r="G1463" i="1"/>
  <c r="E1464" i="1"/>
  <c r="F1465" i="1"/>
  <c r="G1466" i="1"/>
  <c r="F1467" i="1"/>
  <c r="G1468" i="1"/>
  <c r="E1469" i="1"/>
  <c r="F1470" i="1"/>
  <c r="G1471" i="1"/>
  <c r="F1472" i="1"/>
  <c r="G1473" i="1"/>
  <c r="E1474" i="1"/>
  <c r="F1475" i="1"/>
  <c r="G1476" i="1"/>
  <c r="G1477" i="1"/>
  <c r="G1478" i="1"/>
  <c r="G1479" i="1"/>
  <c r="G1480" i="1"/>
  <c r="F1481" i="1"/>
  <c r="G1482" i="1"/>
  <c r="D1483" i="1"/>
  <c r="E1484" i="1"/>
  <c r="F1485" i="1"/>
  <c r="G1486" i="1"/>
  <c r="F1487" i="1"/>
  <c r="G1488" i="1"/>
  <c r="E1489" i="1"/>
  <c r="F1490" i="1"/>
  <c r="G1491" i="1"/>
  <c r="F1492" i="1"/>
  <c r="G1493" i="1"/>
  <c r="E1494" i="1"/>
  <c r="F1495" i="1"/>
  <c r="G1496" i="1"/>
  <c r="G1497" i="1"/>
  <c r="G1498" i="1"/>
  <c r="G1499" i="1"/>
  <c r="F1500" i="1"/>
  <c r="G1501" i="1"/>
  <c r="E1502" i="1"/>
  <c r="F1503" i="1"/>
  <c r="G1504" i="1"/>
  <c r="F1505" i="1"/>
  <c r="G1506" i="1"/>
  <c r="E1507" i="1"/>
  <c r="F1508" i="1"/>
  <c r="G1509" i="1"/>
  <c r="F1510" i="1"/>
  <c r="G1511" i="1"/>
  <c r="E1512" i="1"/>
  <c r="F1513" i="1"/>
  <c r="G1514" i="1"/>
  <c r="F1515" i="1"/>
  <c r="G1516" i="1"/>
  <c r="E1517" i="1"/>
  <c r="F1518" i="1"/>
  <c r="G1519" i="1"/>
  <c r="G1520" i="1"/>
  <c r="F1521" i="1"/>
  <c r="G1522" i="1"/>
  <c r="G1523" i="1"/>
  <c r="F1524" i="1"/>
  <c r="G1525" i="1"/>
  <c r="C1526" i="1"/>
  <c r="D1527" i="1"/>
  <c r="E1528" i="1"/>
  <c r="F1529" i="1"/>
  <c r="G1530" i="1"/>
  <c r="F1531" i="1"/>
  <c r="G1532" i="1"/>
  <c r="E1533" i="1"/>
  <c r="F1534" i="1"/>
  <c r="G1535" i="1"/>
  <c r="F1536" i="1"/>
  <c r="G1537" i="1"/>
  <c r="F1538" i="1"/>
  <c r="G1539" i="1"/>
  <c r="B1540" i="1"/>
  <c r="C1541" i="1"/>
  <c r="D1542" i="1"/>
  <c r="E1543" i="1"/>
  <c r="F1544" i="1"/>
  <c r="G1545" i="1"/>
  <c r="F1546" i="1"/>
  <c r="G1547" i="1"/>
  <c r="E1548" i="1"/>
  <c r="F1549" i="1"/>
  <c r="G1550" i="1"/>
  <c r="F1551" i="1"/>
  <c r="G1552" i="1"/>
  <c r="D1553" i="1"/>
  <c r="E1554" i="1"/>
  <c r="F1555" i="1"/>
  <c r="G1556" i="1"/>
  <c r="G1557" i="1"/>
  <c r="G1558" i="1"/>
  <c r="F1559" i="1"/>
  <c r="G1560" i="1"/>
  <c r="F1561" i="1"/>
  <c r="G1562" i="1"/>
  <c r="G1563" i="1"/>
  <c r="E1564" i="1"/>
  <c r="F1565" i="1"/>
  <c r="G1566" i="1"/>
  <c r="F1567" i="1"/>
  <c r="G1568" i="1"/>
  <c r="E1569" i="1"/>
  <c r="F1570" i="1"/>
  <c r="G1571" i="1"/>
  <c r="F1572" i="1"/>
  <c r="G1573" i="1"/>
  <c r="D1574" i="1"/>
  <c r="E1575" i="1"/>
  <c r="F1576" i="1"/>
  <c r="G1577" i="1"/>
  <c r="G1578" i="1"/>
  <c r="F1579" i="1"/>
  <c r="G1580" i="1"/>
  <c r="F1581" i="1"/>
  <c r="G1582" i="1"/>
  <c r="G1583" i="1"/>
  <c r="D1584" i="1"/>
  <c r="E1585" i="1"/>
  <c r="F1586" i="1"/>
  <c r="G1587" i="1"/>
  <c r="F1588" i="1"/>
  <c r="G1589" i="1"/>
  <c r="E1590" i="1"/>
  <c r="F1591" i="1"/>
  <c r="G1592" i="1"/>
  <c r="F1593" i="1"/>
  <c r="G1594" i="1"/>
  <c r="E1595" i="1"/>
  <c r="F1596" i="1"/>
  <c r="G1597" i="1"/>
  <c r="F1598" i="1"/>
  <c r="G1599" i="1"/>
  <c r="E1600" i="1"/>
  <c r="F1601" i="1"/>
  <c r="G1602" i="1"/>
  <c r="F1603" i="1"/>
  <c r="G1604" i="1"/>
  <c r="E1605" i="1"/>
  <c r="F1606" i="1"/>
  <c r="G1607" i="1"/>
  <c r="F1608" i="1"/>
  <c r="G1609" i="1"/>
  <c r="B1610" i="1"/>
  <c r="C1611" i="1"/>
  <c r="D1612" i="1"/>
  <c r="E1613" i="1"/>
  <c r="F1614" i="1"/>
  <c r="G1615" i="1"/>
  <c r="F1616" i="1"/>
  <c r="G1617" i="1"/>
  <c r="E1618" i="1"/>
  <c r="F1619" i="1"/>
  <c r="G1620" i="1"/>
  <c r="F1621" i="1"/>
  <c r="G1622" i="1"/>
  <c r="E1623" i="1"/>
  <c r="F1624" i="1"/>
  <c r="G1625" i="1"/>
  <c r="F1626" i="1"/>
  <c r="G1627" i="1"/>
  <c r="B1628" i="1"/>
  <c r="C1629" i="1"/>
  <c r="D1630" i="1"/>
  <c r="E1631" i="1"/>
  <c r="F1632" i="1"/>
  <c r="G1633" i="1"/>
  <c r="F1634" i="1"/>
  <c r="G1635" i="1"/>
  <c r="G1636" i="1"/>
  <c r="G1637" i="1"/>
  <c r="G1638" i="1"/>
  <c r="G1639" i="1"/>
  <c r="G1640" i="1"/>
  <c r="G1641" i="1"/>
  <c r="F1642" i="1"/>
  <c r="G1643" i="1"/>
  <c r="G1644" i="1"/>
  <c r="F1645" i="1"/>
  <c r="G1646" i="1"/>
  <c r="G1647" i="1"/>
  <c r="F1648" i="1"/>
  <c r="G1649" i="1"/>
  <c r="E1650" i="1"/>
  <c r="F1651" i="1"/>
  <c r="G1652" i="1"/>
  <c r="F1653" i="1"/>
  <c r="G1654" i="1"/>
  <c r="F1655" i="1"/>
  <c r="G1656" i="1"/>
  <c r="G1657" i="1"/>
  <c r="F1658" i="1"/>
  <c r="G1659" i="1"/>
  <c r="G1660" i="1"/>
  <c r="E1661" i="1"/>
  <c r="F1662" i="1"/>
  <c r="G1663" i="1"/>
  <c r="G1664" i="1"/>
  <c r="G1665" i="1"/>
  <c r="G1666" i="1"/>
  <c r="F1667" i="1"/>
  <c r="G1668" i="1"/>
  <c r="D1669" i="1"/>
  <c r="E1670" i="1"/>
  <c r="F1671" i="1"/>
  <c r="G1672" i="1"/>
  <c r="F1673" i="1"/>
  <c r="G1674" i="1"/>
  <c r="F1675" i="1"/>
  <c r="G1676" i="1"/>
  <c r="F1677" i="1"/>
  <c r="G1678" i="1"/>
  <c r="G1679" i="1"/>
  <c r="G1680" i="1"/>
  <c r="F1681" i="1"/>
  <c r="G1682" i="1"/>
  <c r="E1683" i="1"/>
  <c r="F1684" i="1"/>
  <c r="G1685" i="1"/>
  <c r="G1686" i="1"/>
  <c r="G1687" i="1"/>
  <c r="F1688" i="1"/>
  <c r="G1689" i="1"/>
  <c r="E1690" i="1"/>
  <c r="F1691" i="1"/>
  <c r="G1692" i="1"/>
  <c r="G1693" i="1"/>
  <c r="G1694" i="1"/>
  <c r="G1695" i="1"/>
  <c r="G1696" i="1"/>
  <c r="G1697" i="1"/>
  <c r="F1698" i="1"/>
  <c r="G1699" i="1"/>
  <c r="F1700" i="1"/>
  <c r="G1701" i="1"/>
  <c r="D1702" i="1"/>
  <c r="E1703" i="1"/>
  <c r="F1704" i="1"/>
  <c r="G1705" i="1"/>
  <c r="G1706" i="1"/>
  <c r="G1707" i="1"/>
  <c r="E1708" i="1"/>
  <c r="F1709" i="1"/>
  <c r="G1710" i="1"/>
  <c r="E1711" i="1"/>
  <c r="F1712" i="1"/>
  <c r="G1713" i="1"/>
  <c r="C1714" i="1"/>
  <c r="D1715" i="1"/>
  <c r="E1716" i="1"/>
  <c r="F1717" i="1"/>
  <c r="G1718" i="1"/>
  <c r="G1719" i="1"/>
  <c r="F1720" i="1"/>
  <c r="G1721" i="1"/>
  <c r="D1722" i="1"/>
  <c r="E1723" i="1"/>
  <c r="F1724" i="1"/>
  <c r="G1725" i="1"/>
  <c r="G1726" i="1"/>
  <c r="G1727" i="1"/>
  <c r="G1728" i="1"/>
  <c r="F1729" i="1"/>
  <c r="G1730" i="1"/>
  <c r="E1731" i="1"/>
  <c r="F1732" i="1"/>
  <c r="G1733" i="1"/>
  <c r="G1734" i="1"/>
  <c r="G1735" i="1"/>
  <c r="F1736" i="1"/>
  <c r="G1737" i="1"/>
  <c r="E1738" i="1"/>
  <c r="F1739" i="1"/>
  <c r="G1740" i="1"/>
  <c r="G1741" i="1"/>
  <c r="G1742" i="1"/>
  <c r="G1743" i="1"/>
  <c r="F1744" i="1"/>
  <c r="G1745" i="1"/>
  <c r="D1746" i="1"/>
  <c r="E1747" i="1"/>
  <c r="F1748" i="1"/>
  <c r="G1749" i="1"/>
  <c r="G1750" i="1"/>
  <c r="G1751" i="1"/>
  <c r="G1752" i="1"/>
  <c r="F1753" i="1"/>
  <c r="G1754" i="1"/>
  <c r="D1755" i="1"/>
  <c r="E1756" i="1"/>
  <c r="F1757" i="1"/>
  <c r="G1758" i="1"/>
  <c r="G1759" i="1"/>
  <c r="G1760" i="1"/>
  <c r="F1761" i="1"/>
  <c r="G1762" i="1"/>
  <c r="D1763" i="1"/>
  <c r="E1764" i="1"/>
  <c r="F1765" i="1"/>
  <c r="G1766" i="1"/>
  <c r="F1767" i="1"/>
  <c r="G1768" i="1"/>
  <c r="E1769" i="1"/>
  <c r="F1770" i="1"/>
  <c r="G1771" i="1"/>
  <c r="G1772" i="1"/>
  <c r="G1773" i="1"/>
  <c r="G1774" i="1"/>
  <c r="G1775" i="1"/>
  <c r="G1776" i="1"/>
  <c r="G1777" i="1"/>
  <c r="F1778" i="1"/>
  <c r="G1779" i="1"/>
  <c r="E1780" i="1"/>
  <c r="F1781" i="1"/>
  <c r="G1782" i="1"/>
  <c r="G1783" i="1"/>
  <c r="G1784" i="1"/>
  <c r="G1785" i="1"/>
  <c r="G1786" i="1"/>
  <c r="G1787" i="1"/>
  <c r="G1788" i="1"/>
  <c r="F1789" i="1"/>
  <c r="G1790" i="1"/>
  <c r="B1791" i="1"/>
  <c r="C1792" i="1"/>
  <c r="D1793" i="1"/>
  <c r="E1794" i="1"/>
  <c r="F1795" i="1"/>
  <c r="G1796" i="1"/>
  <c r="G1797" i="1"/>
  <c r="F1798" i="1"/>
  <c r="G1799" i="1"/>
  <c r="G1800" i="1"/>
  <c r="F1801" i="1"/>
  <c r="G1802" i="1"/>
  <c r="F1803" i="1"/>
  <c r="G1804" i="1"/>
  <c r="F1805" i="1"/>
  <c r="G1806" i="1"/>
  <c r="F1807" i="1"/>
  <c r="G1808" i="1"/>
  <c r="F1809" i="1"/>
  <c r="G1810" i="1"/>
  <c r="E1811" i="1"/>
  <c r="F1812" i="1"/>
  <c r="G1813" i="1"/>
  <c r="G1814" i="1"/>
  <c r="G1815" i="1"/>
  <c r="G1816" i="1"/>
  <c r="F1817" i="1"/>
  <c r="G1818" i="1"/>
  <c r="G1819" i="1"/>
  <c r="G1820" i="1"/>
  <c r="G1821" i="1"/>
  <c r="G1822" i="1"/>
  <c r="F1823" i="1"/>
  <c r="G1824" i="1"/>
  <c r="F1825" i="1"/>
  <c r="G1826" i="1"/>
  <c r="E1827" i="1"/>
  <c r="F1828" i="1"/>
  <c r="G1829" i="1"/>
  <c r="G1830" i="1"/>
  <c r="F1831" i="1"/>
  <c r="G1832" i="1"/>
  <c r="G1833" i="1"/>
  <c r="G1834" i="1"/>
  <c r="F1835" i="1"/>
  <c r="G1836" i="1"/>
  <c r="F1837" i="1"/>
  <c r="G1838" i="1"/>
  <c r="F1839" i="1"/>
  <c r="G1840" i="1"/>
  <c r="E1841" i="1"/>
  <c r="F1842" i="1"/>
  <c r="G1843" i="1"/>
  <c r="F1844" i="1"/>
  <c r="G1845" i="1"/>
  <c r="F1846" i="1"/>
  <c r="G1847" i="1"/>
  <c r="E1848" i="1"/>
  <c r="F1849" i="1"/>
  <c r="G1850" i="1"/>
  <c r="G1851" i="1"/>
  <c r="F1852" i="1"/>
  <c r="G1853" i="1"/>
  <c r="F1854" i="1"/>
  <c r="G1855" i="1"/>
  <c r="E1856" i="1"/>
  <c r="F1857" i="1"/>
  <c r="G1858" i="1"/>
  <c r="F1859" i="1"/>
  <c r="G1860" i="1"/>
  <c r="F1861" i="1"/>
  <c r="G1862" i="1"/>
  <c r="D1863" i="1"/>
  <c r="E1864" i="1"/>
  <c r="F1865" i="1"/>
  <c r="G1866" i="1"/>
  <c r="D1867" i="1"/>
  <c r="E1868" i="1"/>
  <c r="F1869" i="1"/>
  <c r="G1870" i="1"/>
  <c r="G1871" i="1"/>
  <c r="G1872" i="1"/>
  <c r="F1873" i="1"/>
  <c r="G1874" i="1"/>
  <c r="F1875" i="1"/>
  <c r="G1876" i="1"/>
  <c r="E1877" i="1"/>
  <c r="F1878" i="1"/>
  <c r="G1879" i="1"/>
  <c r="G1880" i="1"/>
  <c r="G1881" i="1"/>
  <c r="F1882" i="1"/>
  <c r="G1883" i="1"/>
  <c r="F1884" i="1"/>
  <c r="G1885" i="1"/>
  <c r="C1886" i="1"/>
  <c r="D1887" i="1"/>
  <c r="E1888" i="1"/>
  <c r="F1889" i="1"/>
  <c r="G1890" i="1"/>
  <c r="F1891" i="1"/>
  <c r="G1892" i="1"/>
  <c r="C1893" i="1"/>
  <c r="D1894" i="1"/>
  <c r="E1895" i="1"/>
  <c r="F1896" i="1"/>
  <c r="G1897" i="1"/>
  <c r="F1898" i="1"/>
  <c r="G1899" i="1"/>
  <c r="F1900" i="1"/>
  <c r="G1901" i="1"/>
  <c r="E1902" i="1"/>
  <c r="F1903" i="1"/>
  <c r="G1904" i="1"/>
  <c r="F1905" i="1"/>
  <c r="G1906" i="1"/>
  <c r="G1907" i="1"/>
  <c r="F1908" i="1"/>
  <c r="G1909" i="1"/>
  <c r="B1910" i="1"/>
  <c r="C1911" i="1"/>
  <c r="D1912" i="1"/>
  <c r="E1913" i="1"/>
  <c r="F1914" i="1"/>
  <c r="G1915" i="1"/>
  <c r="F1916" i="1"/>
  <c r="G1917" i="1"/>
  <c r="G1918" i="1"/>
  <c r="F1919" i="1"/>
  <c r="G1920" i="1"/>
  <c r="G1921" i="1"/>
  <c r="G1922" i="1"/>
  <c r="F1923" i="1"/>
  <c r="G1924" i="1"/>
  <c r="G1925" i="1"/>
  <c r="G1926" i="1"/>
  <c r="F1927" i="1"/>
  <c r="G1928" i="1"/>
  <c r="G1929" i="1"/>
  <c r="F1930" i="1"/>
  <c r="G1931" i="1"/>
  <c r="D1932" i="1"/>
  <c r="E1933" i="1"/>
  <c r="F1934" i="1"/>
  <c r="G1935" i="1"/>
  <c r="G1936" i="1"/>
  <c r="F1937" i="1"/>
  <c r="G1938" i="1"/>
  <c r="E1939" i="1"/>
  <c r="F1940" i="1"/>
  <c r="G1941" i="1"/>
  <c r="F1942" i="1"/>
  <c r="G1943" i="1"/>
  <c r="E1944" i="1"/>
  <c r="F1945" i="1"/>
  <c r="G1946" i="1"/>
  <c r="F1947" i="1"/>
  <c r="G1948" i="1"/>
  <c r="C1949" i="1"/>
  <c r="D1950" i="1"/>
  <c r="E1951" i="1"/>
  <c r="F1952" i="1"/>
  <c r="G1953" i="1"/>
  <c r="F1954" i="1"/>
  <c r="G1955" i="1"/>
  <c r="E1956" i="1"/>
  <c r="F1957" i="1"/>
  <c r="G1958" i="1"/>
  <c r="F1959" i="1"/>
  <c r="G1960" i="1"/>
  <c r="E1961" i="1"/>
  <c r="F1962" i="1"/>
  <c r="G1963" i="1"/>
  <c r="F1964" i="1"/>
  <c r="G1965" i="1"/>
  <c r="E1966" i="1"/>
  <c r="F1967" i="1"/>
  <c r="G1968" i="1"/>
  <c r="G1969" i="1"/>
  <c r="F1970" i="1"/>
  <c r="G1971" i="1"/>
  <c r="E1972" i="1"/>
  <c r="F1973" i="1"/>
  <c r="G1974" i="1"/>
  <c r="G1975" i="1"/>
  <c r="G1976" i="1"/>
  <c r="G1977" i="1"/>
  <c r="F1978" i="1"/>
  <c r="G1979" i="1"/>
  <c r="F1980" i="1"/>
  <c r="G1981" i="1"/>
  <c r="B1982" i="1"/>
  <c r="C1983" i="1"/>
  <c r="D1984" i="1"/>
  <c r="E1985" i="1"/>
  <c r="F1986" i="1"/>
  <c r="G1987" i="1"/>
  <c r="F1988" i="1"/>
  <c r="G1989" i="1"/>
  <c r="G1990" i="1"/>
  <c r="G1991" i="1"/>
  <c r="F1992" i="1"/>
  <c r="G1993" i="1"/>
  <c r="E1994" i="1"/>
  <c r="F1995" i="1"/>
  <c r="G1996" i="1"/>
  <c r="G1997" i="1"/>
  <c r="G1998" i="1"/>
  <c r="F1999" i="1"/>
  <c r="G2000" i="1"/>
  <c r="C2001" i="1"/>
  <c r="D2002" i="1"/>
  <c r="E2003" i="1"/>
  <c r="F2004" i="1"/>
  <c r="G2005" i="1"/>
  <c r="G2006" i="1"/>
  <c r="G2007" i="1"/>
  <c r="G2008" i="1"/>
  <c r="F2009" i="1"/>
  <c r="G2010" i="1"/>
  <c r="G2011" i="1"/>
  <c r="F2012" i="1"/>
  <c r="G2013" i="1"/>
  <c r="D2014" i="1"/>
  <c r="E2015" i="1"/>
  <c r="F2016" i="1"/>
  <c r="G2017" i="1"/>
  <c r="F2018" i="1"/>
  <c r="G2019" i="1"/>
  <c r="G2020" i="1"/>
  <c r="G2021" i="1"/>
  <c r="F2022" i="1"/>
  <c r="G2023" i="1"/>
  <c r="F2024" i="1"/>
  <c r="G2025" i="1"/>
  <c r="D2026" i="1"/>
  <c r="E2027" i="1"/>
  <c r="F2028" i="1"/>
  <c r="G2029" i="1"/>
  <c r="G2030" i="1"/>
  <c r="G2031" i="1"/>
  <c r="F2032" i="1"/>
  <c r="G2033" i="1"/>
  <c r="D2034" i="1"/>
  <c r="E2035" i="1"/>
  <c r="F2036" i="1"/>
  <c r="G2037" i="1"/>
  <c r="G2038" i="1"/>
  <c r="G2039" i="1"/>
  <c r="G2040" i="1"/>
  <c r="F2041" i="1"/>
  <c r="G2042" i="1"/>
  <c r="E2043" i="1"/>
  <c r="F2044" i="1"/>
  <c r="G2045" i="1"/>
  <c r="G2046" i="1"/>
  <c r="F2047" i="1"/>
  <c r="G2048" i="1"/>
  <c r="E2049" i="1"/>
  <c r="F2050" i="1"/>
  <c r="G2051" i="1"/>
  <c r="G2052" i="1"/>
  <c r="G2053" i="1"/>
  <c r="G2054" i="1"/>
  <c r="F2055" i="1"/>
  <c r="G2056" i="1"/>
  <c r="B2057" i="1"/>
  <c r="C2058" i="1"/>
  <c r="D2059" i="1"/>
  <c r="E2060" i="1"/>
  <c r="F2061" i="1"/>
  <c r="G2062" i="1"/>
  <c r="G2063" i="1"/>
  <c r="G2064" i="1"/>
  <c r="G2065" i="1"/>
  <c r="F2066" i="1"/>
  <c r="G2067" i="1"/>
  <c r="E2068" i="1"/>
  <c r="F2069" i="1"/>
  <c r="G2070" i="1"/>
  <c r="G2071" i="1"/>
  <c r="G2072" i="1"/>
  <c r="G2073" i="1"/>
  <c r="F2074" i="1"/>
  <c r="G2075" i="1"/>
  <c r="F2076" i="1"/>
  <c r="G2077" i="1"/>
  <c r="G2078" i="1"/>
  <c r="G2079" i="1"/>
  <c r="G2080" i="1"/>
  <c r="F2081" i="1"/>
  <c r="G2082" i="1"/>
  <c r="G2083" i="1"/>
  <c r="G2084" i="1"/>
  <c r="G2085" i="1"/>
  <c r="F2086" i="1"/>
  <c r="G2087" i="1"/>
  <c r="F2088" i="1"/>
  <c r="G2089" i="1"/>
  <c r="F2090" i="1"/>
  <c r="G2091" i="1"/>
  <c r="G2092" i="1"/>
  <c r="G2093" i="1"/>
  <c r="G2094" i="1"/>
  <c r="G2095" i="1"/>
  <c r="G2096" i="1"/>
  <c r="G2097" i="1"/>
  <c r="G2098" i="1"/>
  <c r="G2099" i="1"/>
  <c r="F2100" i="1"/>
  <c r="G2101" i="1"/>
  <c r="D2102" i="1"/>
  <c r="E2103" i="1"/>
  <c r="F2104" i="1"/>
  <c r="G2105" i="1"/>
  <c r="G2106" i="1"/>
  <c r="G2107" i="1"/>
  <c r="G2108" i="1"/>
  <c r="G2109" i="1"/>
  <c r="F2110" i="1"/>
  <c r="G2111" i="1"/>
  <c r="D2112" i="1"/>
  <c r="E2113" i="1"/>
  <c r="F2114" i="1"/>
  <c r="G2115" i="1"/>
  <c r="G2116" i="1"/>
  <c r="G2117" i="1"/>
  <c r="F2118" i="1"/>
  <c r="G2119" i="1"/>
  <c r="E2120" i="1"/>
  <c r="F2121" i="1"/>
  <c r="G2122" i="1"/>
  <c r="G2123" i="1"/>
  <c r="G2124" i="1"/>
  <c r="F2125" i="1"/>
  <c r="G2126" i="1"/>
  <c r="E2127" i="1"/>
  <c r="F2128" i="1"/>
  <c r="G2129" i="1"/>
  <c r="G2130" i="1"/>
  <c r="F2131" i="1"/>
  <c r="G2132" i="1"/>
  <c r="G2133" i="1"/>
  <c r="G2134" i="1"/>
  <c r="F2135" i="1"/>
  <c r="G2136" i="1"/>
  <c r="B2137" i="1"/>
  <c r="C2138" i="1"/>
  <c r="D2139" i="1"/>
  <c r="E2140" i="1"/>
  <c r="F2141" i="1"/>
  <c r="G2142" i="1"/>
  <c r="G2143" i="1"/>
  <c r="E2144" i="1"/>
  <c r="F2145" i="1"/>
  <c r="G2146" i="1"/>
  <c r="E2147" i="1"/>
  <c r="F2148" i="1"/>
  <c r="G2149" i="1"/>
  <c r="G2150" i="1"/>
  <c r="G2151" i="1"/>
  <c r="G2152" i="1"/>
  <c r="G2153" i="1"/>
  <c r="D2154" i="1"/>
  <c r="E2155" i="1"/>
  <c r="F2156" i="1"/>
  <c r="G2157" i="1"/>
  <c r="G2158" i="1"/>
  <c r="G2159" i="1"/>
  <c r="E2160" i="1"/>
  <c r="F2161" i="1"/>
  <c r="G2162" i="1"/>
  <c r="C2163" i="1"/>
  <c r="D2164" i="1"/>
  <c r="E2165" i="1"/>
  <c r="F2166" i="1"/>
  <c r="G2167" i="1"/>
  <c r="G2168" i="1"/>
  <c r="G2169" i="1"/>
  <c r="B2170" i="1"/>
  <c r="C2171" i="1"/>
  <c r="D2172" i="1"/>
  <c r="E2173" i="1"/>
  <c r="F2174" i="1"/>
  <c r="G2175" i="1"/>
  <c r="G2176" i="1"/>
  <c r="G2177" i="1"/>
  <c r="F2178" i="1"/>
  <c r="G2179" i="1"/>
  <c r="C2180" i="1"/>
  <c r="D2181" i="1"/>
  <c r="E2182" i="1"/>
  <c r="F2183" i="1"/>
  <c r="F2184" i="1"/>
  <c r="F2185" i="1"/>
  <c r="E2186" i="1"/>
  <c r="F2187" i="1"/>
  <c r="F2188" i="1"/>
  <c r="F2189" i="1"/>
  <c r="F2190" i="1"/>
  <c r="E2191" i="1"/>
  <c r="F2192" i="1"/>
  <c r="F2193" i="1"/>
  <c r="E2194" i="1"/>
  <c r="F2195" i="1"/>
  <c r="F2196" i="1"/>
  <c r="E2197" i="1"/>
  <c r="F2198" i="1"/>
  <c r="D2199" i="1"/>
  <c r="E2200" i="1"/>
  <c r="F2201" i="1"/>
  <c r="F2202" i="1"/>
  <c r="F2203" i="1"/>
  <c r="E2204" i="1"/>
  <c r="F2205" i="1"/>
  <c r="D2206" i="1"/>
  <c r="E2207" i="1"/>
  <c r="F2208" i="1"/>
  <c r="F2209" i="1"/>
  <c r="F2210" i="1"/>
  <c r="E2211" i="1"/>
  <c r="F2212" i="1"/>
  <c r="F2213" i="1"/>
  <c r="F2214" i="1"/>
  <c r="E2215" i="1"/>
  <c r="F2216" i="1"/>
  <c r="B2217" i="1"/>
  <c r="C2218" i="1"/>
  <c r="D2219" i="1"/>
  <c r="E2220" i="1"/>
  <c r="F2221" i="1"/>
  <c r="G2222" i="1"/>
  <c r="G2223" i="1"/>
  <c r="G2224" i="1"/>
  <c r="F2225" i="1"/>
  <c r="G2226" i="1"/>
  <c r="E2227" i="1"/>
  <c r="F2228" i="1"/>
  <c r="G2229" i="1"/>
  <c r="G2230" i="1"/>
  <c r="G2231" i="1"/>
  <c r="F2232" i="1"/>
  <c r="G2233" i="1"/>
  <c r="G2234" i="1"/>
  <c r="G2235" i="1"/>
  <c r="G2236" i="1"/>
  <c r="F2237" i="1"/>
  <c r="G2238" i="1"/>
  <c r="E2239" i="1"/>
  <c r="F2240" i="1"/>
  <c r="G2241" i="1"/>
  <c r="G2242" i="1"/>
  <c r="G2243" i="1"/>
  <c r="G2244" i="1"/>
  <c r="F2245" i="1"/>
  <c r="G2246" i="1"/>
  <c r="G2247" i="1"/>
  <c r="G2248" i="1"/>
  <c r="G2249" i="1"/>
  <c r="G2250" i="1"/>
  <c r="F2251" i="1"/>
  <c r="G2252" i="1"/>
  <c r="G2253" i="1"/>
  <c r="F2254" i="1"/>
  <c r="G2255" i="1"/>
  <c r="G2256" i="1"/>
  <c r="G2257" i="1"/>
  <c r="F2258" i="1"/>
  <c r="G2259" i="1"/>
  <c r="G2260" i="1"/>
  <c r="F2261" i="1"/>
  <c r="G2262" i="1"/>
  <c r="G2263" i="1"/>
  <c r="G2264" i="1"/>
  <c r="G2265" i="1"/>
  <c r="G2266" i="1"/>
  <c r="G2267" i="1"/>
  <c r="G2268" i="1"/>
  <c r="G2269" i="1"/>
  <c r="F2270" i="1"/>
  <c r="G2271" i="1"/>
  <c r="E2272" i="1"/>
  <c r="F2273" i="1"/>
  <c r="G2274" i="1"/>
  <c r="G2275" i="1"/>
  <c r="F2276" i="1"/>
  <c r="G2277" i="1"/>
  <c r="E2278" i="1"/>
  <c r="F2279" i="1"/>
  <c r="G2280" i="1"/>
  <c r="G2281" i="1"/>
  <c r="G2282" i="1"/>
  <c r="G2283" i="1"/>
  <c r="G2284" i="1"/>
  <c r="F2285" i="1"/>
  <c r="G2286" i="1"/>
  <c r="G2287" i="1"/>
  <c r="G2288" i="1"/>
  <c r="G2289" i="1"/>
  <c r="F2290" i="1"/>
  <c r="G2291" i="1"/>
  <c r="G2292" i="1"/>
  <c r="G2293" i="1"/>
  <c r="G2294" i="1"/>
  <c r="F2295" i="1"/>
  <c r="G2296" i="1"/>
  <c r="G2297" i="1"/>
  <c r="G2298" i="1"/>
  <c r="G2299" i="1"/>
  <c r="F2300" i="1"/>
  <c r="G2301" i="1"/>
  <c r="G2302" i="1"/>
  <c r="G2303" i="1"/>
  <c r="F2304" i="1"/>
  <c r="G2305" i="1"/>
  <c r="G2306" i="1"/>
  <c r="G2307" i="1"/>
  <c r="G2308" i="1"/>
  <c r="F2309" i="1"/>
  <c r="G2310" i="1"/>
  <c r="G2311" i="1"/>
  <c r="G2312" i="1"/>
  <c r="F2313" i="1"/>
  <c r="G2314" i="1"/>
  <c r="F2315" i="1"/>
  <c r="G2316" i="1"/>
  <c r="D2317" i="1"/>
  <c r="E2318" i="1"/>
  <c r="F2319" i="1"/>
  <c r="G2320" i="1"/>
  <c r="G2321" i="1"/>
  <c r="G2322" i="1"/>
  <c r="G2323" i="1"/>
  <c r="G2324" i="1"/>
  <c r="G2325" i="1"/>
  <c r="F2326" i="1"/>
  <c r="G2327" i="1"/>
  <c r="G2328" i="1"/>
  <c r="F2329" i="1"/>
  <c r="G2330" i="1"/>
  <c r="G2331" i="1"/>
  <c r="G2332" i="1"/>
  <c r="F2333" i="1"/>
  <c r="G2334" i="1"/>
  <c r="G2335" i="1"/>
  <c r="G2336" i="1"/>
  <c r="G2337" i="1"/>
  <c r="G2338" i="1"/>
  <c r="G2339" i="1"/>
  <c r="F2340" i="1"/>
  <c r="G2341" i="1"/>
  <c r="F2342" i="1"/>
  <c r="G2343" i="1"/>
  <c r="E2344" i="1"/>
  <c r="F2345" i="1"/>
  <c r="G2346" i="1"/>
  <c r="F2347" i="1"/>
  <c r="G2348" i="1"/>
  <c r="F2349" i="1"/>
  <c r="G2350" i="1"/>
  <c r="F2351" i="1"/>
  <c r="G2352" i="1"/>
  <c r="D2353" i="1"/>
  <c r="E2354" i="1"/>
  <c r="F2355" i="1"/>
  <c r="G2356" i="1"/>
  <c r="F2357" i="1"/>
  <c r="G2358" i="1"/>
  <c r="F2359" i="1"/>
  <c r="G2360" i="1"/>
  <c r="F2361" i="1"/>
  <c r="G2362" i="1"/>
  <c r="F2363" i="1"/>
  <c r="G2364" i="1"/>
  <c r="G2365" i="1"/>
  <c r="G2366" i="1"/>
  <c r="G2367" i="1"/>
  <c r="G2368" i="1"/>
  <c r="G2369" i="1"/>
  <c r="G2370" i="1"/>
  <c r="G2371" i="1"/>
  <c r="F2372" i="1"/>
  <c r="G2373" i="1"/>
  <c r="E2374" i="1"/>
  <c r="F2375" i="1"/>
  <c r="G2376" i="1"/>
  <c r="F2377" i="1"/>
  <c r="G2378" i="1"/>
  <c r="C2379" i="1"/>
  <c r="D2380" i="1"/>
  <c r="E2381" i="1"/>
  <c r="F2382" i="1"/>
  <c r="G2383" i="1"/>
  <c r="G2384" i="1"/>
  <c r="G2385" i="1"/>
  <c r="G2386" i="1"/>
  <c r="G2387" i="1"/>
  <c r="G2388" i="1"/>
  <c r="F2389" i="1"/>
  <c r="G2390" i="1"/>
  <c r="D2391" i="1"/>
  <c r="E2392" i="1"/>
  <c r="F2393" i="1"/>
  <c r="G2394" i="1"/>
  <c r="G2395" i="1"/>
  <c r="F2396" i="1"/>
  <c r="G2397" i="1"/>
  <c r="G2398" i="1"/>
  <c r="G2399" i="1"/>
  <c r="F2400" i="1"/>
  <c r="G2401" i="1"/>
  <c r="E2402" i="1"/>
  <c r="F2403" i="1"/>
  <c r="G2404" i="1"/>
  <c r="F2405" i="1"/>
  <c r="G2406" i="1"/>
  <c r="D2407" i="1"/>
  <c r="E2408" i="1"/>
  <c r="F2409" i="1"/>
  <c r="G2410" i="1"/>
  <c r="F2411" i="1"/>
  <c r="G2412" i="1"/>
  <c r="F2413" i="1"/>
  <c r="G2414" i="1"/>
  <c r="G2415" i="1"/>
  <c r="F2416" i="1"/>
  <c r="G2417" i="1"/>
  <c r="G2418" i="1"/>
  <c r="G2419" i="1"/>
  <c r="G2420" i="1"/>
  <c r="F2421" i="1"/>
  <c r="G2422" i="1"/>
  <c r="E2423" i="1"/>
  <c r="F2424" i="1"/>
  <c r="G2425" i="1"/>
  <c r="G2426" i="1"/>
  <c r="G2427" i="1"/>
  <c r="G2428" i="1"/>
  <c r="G2429" i="1"/>
  <c r="G2430" i="1"/>
  <c r="G2431" i="1"/>
  <c r="G2432" i="1"/>
  <c r="F2433" i="1"/>
  <c r="G2434" i="1"/>
  <c r="D2435" i="1"/>
  <c r="E2436" i="1"/>
  <c r="F2437" i="1"/>
  <c r="G2438" i="1"/>
  <c r="G2439" i="1"/>
  <c r="G2440" i="1"/>
  <c r="G2441" i="1"/>
  <c r="F2442" i="1"/>
  <c r="G2443" i="1"/>
  <c r="F2444" i="1"/>
  <c r="G2445" i="1"/>
  <c r="E2446" i="1"/>
  <c r="F2447" i="1"/>
  <c r="G2448" i="1"/>
  <c r="F2449" i="1"/>
  <c r="G2450" i="1"/>
  <c r="F2451" i="1"/>
  <c r="G2452" i="1"/>
  <c r="E2453" i="1"/>
  <c r="F2454" i="1"/>
  <c r="G2455" i="1"/>
  <c r="F2456" i="1"/>
  <c r="G2457" i="1"/>
  <c r="E2458" i="1"/>
  <c r="F2459" i="1"/>
  <c r="G2460" i="1"/>
  <c r="G2461" i="1"/>
  <c r="F2462" i="1"/>
  <c r="G2463" i="1"/>
  <c r="E2464" i="1"/>
  <c r="F2465" i="1"/>
  <c r="G2466" i="1"/>
  <c r="F2467" i="1"/>
  <c r="G2468" i="1"/>
  <c r="F2469" i="1"/>
  <c r="G2470" i="1"/>
  <c r="G2471" i="1"/>
  <c r="G2472" i="1"/>
  <c r="F2473" i="1"/>
  <c r="G2474" i="1"/>
  <c r="G2475" i="1"/>
  <c r="G2476" i="1"/>
  <c r="G2477" i="1"/>
  <c r="G2478" i="1"/>
  <c r="G2479" i="1"/>
  <c r="G2480" i="1"/>
  <c r="G2481" i="1"/>
  <c r="F2482" i="1"/>
  <c r="G2483" i="1"/>
  <c r="F2484" i="1"/>
  <c r="G2485" i="1"/>
  <c r="C2486" i="1"/>
  <c r="D2487" i="1"/>
  <c r="E2488" i="1"/>
  <c r="F2489" i="1"/>
  <c r="G2490" i="1"/>
  <c r="G2491" i="1"/>
  <c r="G2492" i="1"/>
  <c r="G2493" i="1"/>
  <c r="F2494" i="1"/>
  <c r="G2495" i="1"/>
  <c r="G2496" i="1"/>
  <c r="G2497" i="1"/>
  <c r="G2498" i="1"/>
  <c r="F2499" i="1"/>
  <c r="G2500" i="1"/>
  <c r="B2501" i="1"/>
  <c r="C2502" i="1"/>
  <c r="D2503" i="1"/>
  <c r="E2504" i="1"/>
  <c r="F2505" i="1"/>
  <c r="G2506" i="1"/>
  <c r="F2507" i="1"/>
  <c r="G2508" i="1"/>
  <c r="F2509" i="1"/>
  <c r="G2510" i="1"/>
  <c r="G2511" i="1"/>
  <c r="F2512" i="1"/>
  <c r="G2513" i="1"/>
  <c r="F2514" i="1"/>
  <c r="G2515" i="1"/>
  <c r="G2516" i="1"/>
  <c r="G2517" i="1"/>
  <c r="G2518" i="1"/>
  <c r="F2519" i="1"/>
  <c r="G2520" i="1"/>
  <c r="F2521" i="1"/>
  <c r="G2522" i="1"/>
  <c r="G2523" i="1"/>
  <c r="G2524" i="1"/>
  <c r="F2525" i="1"/>
  <c r="G2526" i="1"/>
  <c r="G2527" i="1"/>
  <c r="G2528" i="1"/>
  <c r="G2529" i="1"/>
  <c r="F2530" i="1"/>
  <c r="G2531" i="1"/>
  <c r="E2532" i="1"/>
  <c r="F2533" i="1"/>
  <c r="G2534" i="1"/>
  <c r="F2535" i="1"/>
  <c r="G2536" i="1"/>
  <c r="B2537" i="1"/>
  <c r="C2538" i="1"/>
  <c r="D2539" i="1"/>
  <c r="E2540" i="1"/>
  <c r="F2541" i="1"/>
  <c r="G2542" i="1"/>
  <c r="G2543" i="1"/>
  <c r="G2544" i="1"/>
  <c r="G2545" i="1"/>
  <c r="G2546" i="1"/>
  <c r="F2547" i="1"/>
  <c r="G2548" i="1"/>
  <c r="E2549" i="1"/>
  <c r="F2550" i="1"/>
  <c r="G2551" i="1"/>
  <c r="G2552" i="1"/>
  <c r="F2553" i="1"/>
  <c r="G2554" i="1"/>
  <c r="F2555" i="1"/>
  <c r="G2556" i="1"/>
  <c r="D2557" i="1"/>
  <c r="E2558" i="1"/>
  <c r="F2559" i="1"/>
  <c r="G2560" i="1"/>
  <c r="F2561" i="1"/>
  <c r="G2562" i="1"/>
  <c r="F2563" i="1"/>
  <c r="G2564" i="1"/>
  <c r="F2565" i="1"/>
  <c r="G2566" i="1"/>
  <c r="E2567" i="1"/>
  <c r="F2568" i="1"/>
  <c r="G2569" i="1"/>
  <c r="F2570" i="1"/>
  <c r="G2571" i="1"/>
  <c r="E2572" i="1"/>
  <c r="F2573" i="1"/>
  <c r="G2574" i="1"/>
  <c r="F2575" i="1"/>
  <c r="G2576" i="1"/>
  <c r="E2577" i="1"/>
  <c r="F2578" i="1"/>
  <c r="G2579" i="1"/>
  <c r="F2580" i="1"/>
  <c r="G2581" i="1"/>
  <c r="F2582" i="1"/>
  <c r="G2583" i="1"/>
  <c r="F2584" i="1"/>
  <c r="G2585" i="1"/>
  <c r="F2586" i="1"/>
  <c r="G2587" i="1"/>
  <c r="F2588" i="1"/>
  <c r="G2589" i="1"/>
  <c r="G2590" i="1"/>
  <c r="F2591" i="1"/>
  <c r="G2592" i="1"/>
  <c r="C2593" i="1"/>
  <c r="D2594" i="1"/>
  <c r="E2595" i="1"/>
  <c r="F2596" i="1"/>
  <c r="G2597" i="1"/>
  <c r="G2598" i="1"/>
  <c r="G2599" i="1"/>
  <c r="G2600" i="1"/>
  <c r="G2601" i="1"/>
  <c r="G2602" i="1"/>
  <c r="F2603" i="1"/>
  <c r="G2604" i="1"/>
  <c r="F2605" i="1"/>
  <c r="G2606" i="1"/>
  <c r="D2607" i="1"/>
  <c r="E2608" i="1"/>
  <c r="F2609" i="1"/>
  <c r="G2610" i="1"/>
  <c r="G2611" i="1"/>
  <c r="G2612" i="1"/>
  <c r="G2613" i="1"/>
  <c r="F2614" i="1"/>
  <c r="G2615" i="1"/>
  <c r="D2616" i="1"/>
  <c r="E2617" i="1"/>
  <c r="F2618" i="1"/>
  <c r="G2619" i="1"/>
  <c r="F2620" i="1"/>
  <c r="G2621" i="1"/>
  <c r="G2622" i="1"/>
  <c r="F2623" i="1"/>
  <c r="G2624" i="1"/>
  <c r="F2625" i="1"/>
  <c r="G2626" i="1"/>
  <c r="G2627" i="1"/>
  <c r="F2628" i="1"/>
  <c r="G2629" i="1"/>
  <c r="D2630" i="1"/>
  <c r="E2631" i="1"/>
  <c r="F2632" i="1"/>
  <c r="G2633" i="1"/>
  <c r="F2634" i="1"/>
  <c r="G2635" i="1"/>
  <c r="E2636" i="1"/>
  <c r="F2637" i="1"/>
  <c r="G2638" i="1"/>
  <c r="G2639" i="1"/>
  <c r="G2640" i="1"/>
  <c r="G2641" i="1"/>
  <c r="G2642" i="1"/>
  <c r="F2643" i="1"/>
  <c r="G2644" i="1"/>
  <c r="E2645" i="1"/>
  <c r="F2646" i="1"/>
  <c r="G2647" i="1"/>
  <c r="F2648" i="1"/>
  <c r="G2649" i="1"/>
  <c r="G2650" i="1"/>
  <c r="G2651" i="1"/>
  <c r="G2652" i="1"/>
  <c r="G2653" i="1"/>
  <c r="G2654" i="1"/>
  <c r="F2655" i="1"/>
  <c r="G2656" i="1"/>
  <c r="B2657" i="1"/>
  <c r="C2658" i="1"/>
  <c r="D2659" i="1"/>
  <c r="E2660" i="1"/>
  <c r="F2661" i="1"/>
  <c r="G2662" i="1"/>
  <c r="G2663" i="1"/>
  <c r="F2664" i="1"/>
  <c r="G2665" i="1"/>
  <c r="G2666" i="1"/>
  <c r="G2667" i="1"/>
  <c r="F2668" i="1"/>
  <c r="G2669" i="1"/>
  <c r="E2670" i="1"/>
  <c r="F2671" i="1"/>
  <c r="G2672" i="1"/>
  <c r="G2673" i="1"/>
  <c r="G2674" i="1"/>
  <c r="G2675" i="1"/>
  <c r="F2676" i="1"/>
  <c r="G2677" i="1"/>
  <c r="G2678" i="1"/>
  <c r="E2679" i="1"/>
  <c r="F2680" i="1"/>
  <c r="G2681" i="1"/>
  <c r="G2682" i="1"/>
  <c r="F2683" i="1"/>
  <c r="G2684" i="1"/>
  <c r="E2685" i="1"/>
  <c r="F2686" i="1"/>
  <c r="G2687" i="1"/>
  <c r="G2688" i="1"/>
  <c r="F2689" i="1"/>
  <c r="G2690" i="1"/>
  <c r="G2691" i="1"/>
  <c r="G2692" i="1"/>
  <c r="G2693" i="1"/>
  <c r="G2694" i="1"/>
  <c r="G2695" i="1"/>
  <c r="F2696" i="1"/>
  <c r="G2697" i="1"/>
  <c r="C2698" i="1"/>
  <c r="D2699" i="1"/>
  <c r="E2700" i="1"/>
  <c r="F2701" i="1"/>
  <c r="G2702" i="1"/>
  <c r="G2703" i="1"/>
  <c r="G2704" i="1"/>
  <c r="G2705" i="1"/>
  <c r="F2706" i="1"/>
  <c r="G2707" i="1"/>
  <c r="D2708" i="1"/>
  <c r="E2709" i="1"/>
  <c r="F2710" i="1"/>
  <c r="G2711" i="1"/>
  <c r="F2712" i="1"/>
  <c r="G2713" i="1"/>
  <c r="E2714" i="1"/>
  <c r="F2715" i="1"/>
  <c r="G2716" i="1"/>
  <c r="F2717" i="1"/>
  <c r="G2718" i="1"/>
  <c r="E2719" i="1"/>
  <c r="F2720" i="1"/>
  <c r="G2721" i="1"/>
  <c r="F2722" i="1"/>
  <c r="G2723" i="1"/>
  <c r="E2724" i="1"/>
  <c r="F2725" i="1"/>
  <c r="G2726" i="1"/>
  <c r="G2727" i="1"/>
  <c r="G2728" i="1"/>
  <c r="F2729" i="1"/>
  <c r="G2730" i="1"/>
  <c r="D2731" i="1"/>
  <c r="E2732" i="1"/>
  <c r="F2733" i="1"/>
  <c r="G2734" i="1"/>
  <c r="G2735" i="1"/>
  <c r="F2736" i="1"/>
  <c r="G2737" i="1"/>
  <c r="E2738" i="1"/>
  <c r="F2739" i="1"/>
  <c r="G2740" i="1"/>
  <c r="F2741" i="1"/>
  <c r="G2742" i="1"/>
  <c r="E2743" i="1"/>
  <c r="F2744" i="1"/>
  <c r="G2745" i="1"/>
  <c r="F2746" i="1"/>
  <c r="G2747" i="1"/>
  <c r="E2748" i="1"/>
  <c r="F2749" i="1"/>
  <c r="G2750" i="1"/>
  <c r="G2751" i="1"/>
  <c r="F2752" i="1"/>
  <c r="G2753" i="1"/>
  <c r="G2754" i="1"/>
  <c r="G2755" i="1"/>
  <c r="F2756" i="1"/>
  <c r="G2757" i="1"/>
  <c r="D2758" i="1"/>
  <c r="E2759" i="1"/>
  <c r="F2760" i="1"/>
  <c r="G2761" i="1"/>
  <c r="G2762" i="1"/>
  <c r="F2763" i="1"/>
  <c r="G2764" i="1"/>
  <c r="E2765" i="1"/>
  <c r="F2766" i="1"/>
  <c r="G2767" i="1"/>
  <c r="F2768" i="1"/>
  <c r="G2769" i="1"/>
  <c r="F2770" i="1"/>
  <c r="G2771" i="1"/>
  <c r="F2772" i="1"/>
  <c r="G2773" i="1"/>
  <c r="D2774" i="1"/>
  <c r="E2775" i="1"/>
  <c r="F2776" i="1"/>
  <c r="G2777" i="1"/>
  <c r="G2778" i="1"/>
  <c r="F2779" i="1"/>
  <c r="G2780" i="1"/>
  <c r="F2781" i="1"/>
  <c r="G2782" i="1"/>
  <c r="E2783" i="1"/>
  <c r="F2784" i="1"/>
  <c r="G2785" i="1"/>
  <c r="F2786" i="1"/>
  <c r="G2787" i="1"/>
  <c r="E2788" i="1"/>
  <c r="F2789" i="1"/>
  <c r="G2790" i="1"/>
  <c r="F2791" i="1"/>
  <c r="G2792" i="1"/>
  <c r="F2793" i="1"/>
  <c r="G2794" i="1"/>
  <c r="E2795" i="1"/>
  <c r="F2796" i="1"/>
  <c r="G2797" i="1"/>
  <c r="G2798" i="1"/>
  <c r="F2799" i="1"/>
  <c r="G2800" i="1"/>
  <c r="E2801" i="1"/>
  <c r="F2802" i="1"/>
  <c r="G2803" i="1"/>
  <c r="G2804" i="1"/>
  <c r="F2805" i="1"/>
  <c r="G2806" i="1"/>
  <c r="D2807" i="1"/>
  <c r="E2808" i="1"/>
  <c r="F2809" i="1"/>
  <c r="G2810" i="1"/>
  <c r="G2811" i="1"/>
  <c r="F2812" i="1"/>
  <c r="G2813" i="1"/>
  <c r="E2814" i="1"/>
  <c r="F2815" i="1"/>
  <c r="G2816" i="1"/>
  <c r="F2817" i="1"/>
  <c r="G2818" i="1"/>
  <c r="F2819" i="1"/>
  <c r="G2820" i="1"/>
  <c r="D2821" i="1"/>
  <c r="E2822" i="1"/>
  <c r="F2823" i="1"/>
  <c r="G2824" i="1"/>
  <c r="G2825" i="1"/>
  <c r="F2826" i="1"/>
  <c r="G2827" i="1"/>
  <c r="E2828" i="1"/>
  <c r="F2829" i="1"/>
  <c r="G2830" i="1"/>
  <c r="F2831" i="1"/>
  <c r="G2832" i="1"/>
  <c r="E2833" i="1"/>
  <c r="F2834" i="1"/>
  <c r="G2835" i="1"/>
  <c r="G2836" i="1"/>
  <c r="G2837" i="1"/>
  <c r="G2838" i="1"/>
  <c r="G2839" i="1"/>
  <c r="G2840" i="1"/>
  <c r="F2841" i="1"/>
  <c r="G2842" i="1"/>
  <c r="B2843" i="1"/>
  <c r="C2844" i="1"/>
  <c r="D2845" i="1"/>
  <c r="E2846" i="1"/>
  <c r="F2847" i="1"/>
  <c r="G2848" i="1"/>
  <c r="G2849" i="1"/>
  <c r="G2850" i="1"/>
  <c r="G2851" i="1"/>
  <c r="F2852" i="1"/>
  <c r="G2853" i="1"/>
  <c r="G2854" i="1"/>
  <c r="G2855" i="1"/>
  <c r="F2856" i="1"/>
  <c r="G2857" i="1"/>
  <c r="E2858" i="1"/>
  <c r="F2859" i="1"/>
  <c r="G2860" i="1"/>
  <c r="G2861" i="1"/>
  <c r="G2862" i="1"/>
  <c r="G2863" i="1"/>
  <c r="G2864" i="1"/>
  <c r="G2865" i="1"/>
  <c r="F2866" i="1"/>
  <c r="G2867" i="1"/>
  <c r="G2868" i="1"/>
  <c r="G2869" i="1"/>
  <c r="F2870" i="1"/>
  <c r="G2871" i="1"/>
  <c r="G2872" i="1"/>
  <c r="G2873" i="1"/>
  <c r="G2874" i="1"/>
  <c r="G2875" i="1"/>
  <c r="F2876" i="1"/>
  <c r="G2877" i="1"/>
  <c r="F2878" i="1"/>
  <c r="G2879" i="1"/>
  <c r="F2880" i="1"/>
  <c r="G2881" i="1"/>
  <c r="E2882" i="1"/>
  <c r="F2883" i="1"/>
  <c r="G2884" i="1"/>
  <c r="G2885" i="1"/>
  <c r="G2886" i="1"/>
  <c r="G2887" i="1"/>
  <c r="F2888" i="1"/>
  <c r="G2889" i="1"/>
  <c r="G2890" i="1"/>
  <c r="G2891" i="1"/>
  <c r="G2892" i="1"/>
  <c r="F2893" i="1"/>
  <c r="G2894" i="1"/>
  <c r="G2895" i="1"/>
  <c r="G2896" i="1"/>
  <c r="G2897" i="1"/>
  <c r="G2898" i="1"/>
  <c r="F2899" i="1"/>
  <c r="G2900" i="1"/>
  <c r="F2901" i="1"/>
  <c r="G2902" i="1"/>
  <c r="E2903" i="1"/>
  <c r="F2904" i="1"/>
  <c r="G2905" i="1"/>
  <c r="G2906" i="1"/>
  <c r="G2907" i="1"/>
  <c r="G2908" i="1"/>
  <c r="G2909" i="1"/>
  <c r="G2910" i="1"/>
  <c r="G2911" i="1"/>
  <c r="F2912" i="1"/>
  <c r="G2913" i="1"/>
  <c r="G2914" i="1"/>
  <c r="G2915" i="1"/>
  <c r="G2916" i="1"/>
  <c r="G2917" i="1"/>
  <c r="F2918" i="1"/>
  <c r="G2919" i="1"/>
  <c r="G2920" i="1"/>
  <c r="G2921" i="1"/>
  <c r="F2922" i="1"/>
  <c r="G2923" i="1"/>
  <c r="G2924" i="1"/>
  <c r="G2925" i="1"/>
  <c r="G2926" i="1"/>
  <c r="G2927" i="1"/>
  <c r="G2928" i="1"/>
  <c r="F2929" i="1"/>
  <c r="G2930" i="1"/>
  <c r="G2931" i="1"/>
  <c r="G2932" i="1"/>
  <c r="F2933" i="1"/>
  <c r="G2934" i="1"/>
  <c r="G2935" i="1"/>
  <c r="G2936" i="1"/>
  <c r="G2937" i="1"/>
  <c r="C2938" i="1"/>
  <c r="D2939" i="1"/>
  <c r="E2940" i="1"/>
  <c r="F2941" i="1"/>
  <c r="G2942" i="1"/>
  <c r="F2943" i="1"/>
  <c r="G2944" i="1"/>
  <c r="F2945" i="1"/>
  <c r="G2946" i="1"/>
  <c r="F2947" i="1"/>
  <c r="G2948" i="1"/>
  <c r="F2949" i="1"/>
  <c r="G2950" i="1"/>
  <c r="F2951" i="1"/>
  <c r="G2952" i="1"/>
  <c r="E2953" i="1"/>
  <c r="F2954" i="1"/>
  <c r="G2955" i="1"/>
  <c r="G2956" i="1"/>
  <c r="F2957" i="1"/>
  <c r="G2958" i="1"/>
  <c r="G2959" i="1"/>
  <c r="G2960" i="1"/>
  <c r="G2961" i="1"/>
  <c r="G2962" i="1"/>
  <c r="G2963" i="1"/>
  <c r="F2964" i="1"/>
  <c r="G2965" i="1"/>
  <c r="E2966" i="1"/>
  <c r="F2967" i="1"/>
  <c r="G2968" i="1"/>
  <c r="G2969" i="1"/>
  <c r="G2970" i="1"/>
  <c r="F2971" i="1"/>
  <c r="G2972" i="1"/>
  <c r="G2973" i="1"/>
  <c r="G2974" i="1"/>
  <c r="F2975" i="1"/>
  <c r="G2976" i="1"/>
  <c r="G2977" i="1"/>
  <c r="G2978" i="1"/>
  <c r="F2979" i="1"/>
  <c r="G2980" i="1"/>
  <c r="G2981" i="1"/>
  <c r="G2982" i="1"/>
  <c r="F2983" i="1"/>
  <c r="G2984" i="1"/>
  <c r="E2985" i="1"/>
  <c r="F2986" i="1"/>
  <c r="G2987" i="1"/>
  <c r="G2988" i="1"/>
  <c r="G2989" i="1"/>
  <c r="F2990" i="1"/>
  <c r="G2991" i="1"/>
  <c r="G2992" i="1"/>
  <c r="G2993" i="1"/>
  <c r="G2994" i="1"/>
  <c r="G2995" i="1"/>
  <c r="G2996" i="1"/>
  <c r="F2997" i="1"/>
  <c r="G2998" i="1"/>
  <c r="E2999" i="1"/>
  <c r="F3000" i="1"/>
  <c r="G3001" i="1"/>
  <c r="G3002" i="1"/>
  <c r="F3003" i="1"/>
  <c r="G3004" i="1"/>
  <c r="G3005" i="1"/>
  <c r="G3006" i="1"/>
  <c r="G3007" i="1"/>
  <c r="F3008" i="1"/>
  <c r="G3009" i="1"/>
  <c r="F3010" i="1"/>
  <c r="G3011" i="1"/>
  <c r="F3012" i="1"/>
  <c r="G3013" i="1"/>
  <c r="C3014" i="1"/>
  <c r="D3015" i="1"/>
  <c r="E3016" i="1"/>
  <c r="F3017" i="1"/>
  <c r="G3018" i="1"/>
  <c r="G3019" i="1"/>
  <c r="G3020" i="1"/>
  <c r="F3021" i="1"/>
  <c r="G3022" i="1"/>
  <c r="F3023" i="1"/>
  <c r="G3024" i="1"/>
  <c r="E3025" i="1"/>
  <c r="F3026" i="1"/>
  <c r="G3027" i="1"/>
  <c r="F3028" i="1"/>
  <c r="G3029" i="1"/>
  <c r="F3030" i="1"/>
  <c r="G3031" i="1"/>
  <c r="D3032" i="1"/>
  <c r="E3033" i="1"/>
  <c r="F3034" i="1"/>
  <c r="G3035" i="1"/>
  <c r="F3036" i="1"/>
  <c r="G3037" i="1"/>
  <c r="B3038" i="1"/>
  <c r="C3039" i="1"/>
  <c r="D3040" i="1"/>
  <c r="E3041" i="1"/>
  <c r="F3042" i="1"/>
  <c r="G3043" i="1"/>
  <c r="G3044" i="1"/>
  <c r="G3045" i="1"/>
  <c r="F3046" i="1"/>
  <c r="G3047" i="1"/>
  <c r="E3048" i="1"/>
  <c r="F3049" i="1"/>
  <c r="G3050" i="1"/>
  <c r="F3051" i="1"/>
  <c r="G3052" i="1"/>
  <c r="E3053" i="1"/>
  <c r="F3054" i="1"/>
  <c r="G3055" i="1"/>
  <c r="F3056" i="1"/>
  <c r="G3057" i="1"/>
  <c r="E3058" i="1"/>
  <c r="F3059" i="1"/>
  <c r="G3060" i="1"/>
  <c r="F3061" i="1"/>
  <c r="G3062" i="1"/>
  <c r="D3063" i="1"/>
  <c r="E3064" i="1"/>
  <c r="F3065" i="1"/>
  <c r="G3066" i="1"/>
  <c r="G3067" i="1"/>
  <c r="G3068" i="1"/>
  <c r="F3069" i="1"/>
  <c r="G3070" i="1"/>
  <c r="E3071" i="1"/>
  <c r="F3072" i="1"/>
  <c r="G3073" i="1"/>
  <c r="F3074" i="1"/>
  <c r="G3075" i="1"/>
  <c r="E3076" i="1"/>
  <c r="F3077" i="1"/>
  <c r="G3078" i="1"/>
  <c r="F3079" i="1"/>
  <c r="G3080" i="1"/>
  <c r="D3081" i="1"/>
  <c r="E3082" i="1"/>
  <c r="F3083" i="1"/>
  <c r="G3084" i="1"/>
  <c r="G3085" i="1"/>
  <c r="G3086" i="1"/>
  <c r="F3087" i="1"/>
  <c r="G3088" i="1"/>
  <c r="G3089" i="1"/>
  <c r="F3090" i="1"/>
  <c r="G3091" i="1"/>
  <c r="C3092" i="1"/>
  <c r="D3093" i="1"/>
  <c r="E3094" i="1"/>
  <c r="F3095" i="1"/>
  <c r="G3096" i="1"/>
  <c r="F3097" i="1"/>
  <c r="G3098" i="1"/>
  <c r="E3099" i="1"/>
  <c r="F3100" i="1"/>
  <c r="G3101" i="1"/>
  <c r="G3102" i="1"/>
  <c r="G3103" i="1"/>
  <c r="F3104" i="1"/>
  <c r="G3105" i="1"/>
  <c r="C3106" i="1"/>
  <c r="D3107" i="1"/>
  <c r="E3108" i="1"/>
  <c r="F3109" i="1"/>
  <c r="G3110" i="1"/>
  <c r="G3111" i="1"/>
  <c r="G3112" i="1"/>
  <c r="F3113" i="1"/>
  <c r="G3114" i="1"/>
  <c r="D3115" i="1"/>
  <c r="E3116" i="1"/>
  <c r="F3117" i="1"/>
  <c r="G3118" i="1"/>
  <c r="G3119" i="1"/>
  <c r="F3120" i="1"/>
  <c r="G3121" i="1"/>
  <c r="G3122" i="1"/>
  <c r="E3123" i="1"/>
  <c r="F3124" i="1"/>
  <c r="G3125" i="1"/>
  <c r="F3126" i="1"/>
  <c r="G3127" i="1"/>
  <c r="D3128" i="1"/>
  <c r="E3129" i="1"/>
  <c r="F3130" i="1"/>
  <c r="G3131" i="1"/>
  <c r="G3132" i="1"/>
  <c r="G3133" i="1"/>
  <c r="G3134" i="1"/>
  <c r="G3135" i="1"/>
  <c r="F3136" i="1"/>
  <c r="G3137" i="1"/>
  <c r="E3138" i="1"/>
  <c r="F3139" i="1"/>
  <c r="G3140" i="1"/>
  <c r="G3141" i="1"/>
  <c r="G3142" i="1"/>
  <c r="G3143" i="1"/>
  <c r="F3144" i="1"/>
  <c r="G3145" i="1"/>
  <c r="E3146" i="1"/>
  <c r="F3147" i="1"/>
  <c r="G3148" i="1"/>
  <c r="F3149" i="1"/>
  <c r="G3150" i="1"/>
  <c r="F3151" i="1"/>
  <c r="G3152" i="1"/>
  <c r="F3153" i="1"/>
  <c r="G3154" i="1"/>
  <c r="F3155" i="1"/>
  <c r="G3156" i="1"/>
  <c r="F3157" i="1"/>
  <c r="G3158" i="1"/>
  <c r="F3159" i="1"/>
  <c r="G3160" i="1"/>
  <c r="D3161" i="1"/>
  <c r="E3162" i="1"/>
  <c r="F3163" i="1"/>
  <c r="G3164" i="1"/>
  <c r="G3165" i="1"/>
  <c r="F3166" i="1"/>
  <c r="G3167" i="1"/>
  <c r="E3168" i="1"/>
  <c r="F3169" i="1"/>
  <c r="G3170" i="1"/>
  <c r="G3171" i="1"/>
  <c r="G3172" i="1"/>
  <c r="F3173" i="1"/>
  <c r="G3174" i="1"/>
  <c r="D3175" i="1"/>
  <c r="E3176" i="1"/>
  <c r="F3177" i="1"/>
  <c r="G3178" i="1"/>
  <c r="G3179" i="1"/>
  <c r="G3180" i="1"/>
  <c r="G3181" i="1"/>
  <c r="F3182" i="1"/>
  <c r="G3183" i="1"/>
  <c r="E3184" i="1"/>
  <c r="F3185" i="1"/>
  <c r="G3186" i="1"/>
  <c r="G3187" i="1"/>
  <c r="G3188" i="1"/>
  <c r="G3189" i="1"/>
  <c r="F3190" i="1"/>
  <c r="G3191" i="1"/>
  <c r="G3192" i="1"/>
  <c r="G3193" i="1"/>
  <c r="G3194" i="1"/>
  <c r="F3195" i="1"/>
  <c r="G3196" i="1"/>
  <c r="D3197" i="1"/>
  <c r="E3198" i="1"/>
  <c r="F3199" i="1"/>
  <c r="G3200" i="1"/>
  <c r="F3201" i="1"/>
  <c r="G3202" i="1"/>
  <c r="E3203" i="1"/>
  <c r="F3204" i="1"/>
  <c r="G3205" i="1"/>
  <c r="G3206" i="1"/>
  <c r="F3207" i="1"/>
  <c r="G3208" i="1"/>
  <c r="E3209" i="1"/>
  <c r="F3210" i="1"/>
  <c r="G3211" i="1"/>
  <c r="G3212" i="1"/>
  <c r="G3213" i="1"/>
  <c r="F3214" i="1"/>
  <c r="G3215" i="1"/>
  <c r="E3216" i="1"/>
  <c r="F3217" i="1"/>
  <c r="G3218" i="1"/>
  <c r="G3219" i="1"/>
  <c r="G3220" i="1"/>
  <c r="G3221" i="1"/>
  <c r="G3222" i="1"/>
  <c r="G3223" i="1"/>
  <c r="G3224" i="1"/>
  <c r="F3225" i="1"/>
  <c r="G3226" i="1"/>
  <c r="B3227" i="1"/>
  <c r="C3228" i="1"/>
  <c r="D3229" i="1"/>
  <c r="E3230" i="1"/>
  <c r="F3231" i="1"/>
  <c r="G3232" i="1"/>
  <c r="G3233" i="1"/>
  <c r="F3234" i="1"/>
  <c r="G3235" i="1"/>
  <c r="F3236" i="1"/>
  <c r="G3237" i="1"/>
  <c r="E3238" i="1"/>
  <c r="F3239" i="1"/>
  <c r="G3240" i="1"/>
  <c r="F3241" i="1"/>
  <c r="G3242" i="1"/>
  <c r="F3243" i="1"/>
  <c r="G3244" i="1"/>
  <c r="G3245" i="1"/>
  <c r="F3246" i="1"/>
  <c r="G3247" i="1"/>
  <c r="E3248" i="1"/>
  <c r="F3249" i="1"/>
  <c r="G3250" i="1"/>
  <c r="G3251" i="1"/>
  <c r="F3252" i="1"/>
  <c r="G3253" i="1"/>
  <c r="E3254" i="1"/>
  <c r="F3255" i="1"/>
  <c r="G3256" i="1"/>
  <c r="F3257" i="1"/>
  <c r="G3258" i="1"/>
  <c r="G3259" i="1"/>
  <c r="F3260" i="1"/>
  <c r="G3261" i="1"/>
  <c r="F3262" i="1"/>
  <c r="G3263" i="1"/>
  <c r="G3264" i="1"/>
  <c r="F3265" i="1"/>
  <c r="G3266" i="1"/>
  <c r="E3267" i="1"/>
  <c r="F3268" i="1"/>
  <c r="G3269" i="1"/>
  <c r="G3270" i="1"/>
  <c r="G3271" i="1"/>
  <c r="G3272" i="1"/>
  <c r="G3273" i="1"/>
  <c r="G3274" i="1"/>
  <c r="F3275" i="1"/>
  <c r="G3276" i="1"/>
  <c r="C3277" i="1"/>
  <c r="D3278" i="1"/>
  <c r="E3279" i="1"/>
  <c r="F3280" i="1"/>
  <c r="G3281" i="1"/>
  <c r="G3282" i="1"/>
  <c r="G3283" i="1"/>
  <c r="G3284" i="1"/>
  <c r="G3285" i="1"/>
  <c r="G3286" i="1"/>
  <c r="F3287" i="1"/>
  <c r="G3288" i="1"/>
  <c r="F3289" i="1"/>
  <c r="G3290" i="1"/>
  <c r="E3291" i="1"/>
  <c r="F3292" i="1"/>
  <c r="G3293" i="1"/>
  <c r="F3294" i="1"/>
  <c r="G3295" i="1"/>
  <c r="F3296" i="1"/>
  <c r="G3297" i="1"/>
  <c r="E3298" i="1"/>
  <c r="F3299" i="1"/>
  <c r="G3300" i="1"/>
  <c r="F3301" i="1"/>
  <c r="G3302" i="1"/>
  <c r="F3303" i="1"/>
  <c r="G3304" i="1"/>
  <c r="E3305" i="1"/>
  <c r="F3306" i="1"/>
  <c r="G3307" i="1"/>
  <c r="G3308" i="1"/>
  <c r="G3309" i="1"/>
  <c r="F3310" i="1"/>
  <c r="G3311" i="1"/>
  <c r="F3312" i="1"/>
  <c r="G3313" i="1"/>
  <c r="C3314" i="1"/>
  <c r="D3315" i="1"/>
  <c r="E3316" i="1"/>
  <c r="F3317" i="1"/>
  <c r="G3318" i="1"/>
  <c r="G3319" i="1"/>
  <c r="G3320" i="1"/>
  <c r="F3321" i="1"/>
  <c r="G3322" i="1"/>
  <c r="G3323" i="1"/>
  <c r="G3324" i="1"/>
  <c r="F3325" i="1"/>
  <c r="G3326" i="1"/>
  <c r="E3327" i="1"/>
  <c r="F3328" i="1"/>
  <c r="G3329" i="1"/>
  <c r="G3330" i="1"/>
  <c r="F3331" i="1"/>
  <c r="G3332" i="1"/>
  <c r="F3333" i="1"/>
  <c r="G3334" i="1"/>
  <c r="E3335" i="1"/>
  <c r="F3336" i="1"/>
  <c r="G3337" i="1"/>
  <c r="G3338" i="1"/>
  <c r="G3339" i="1"/>
  <c r="F3340" i="1"/>
  <c r="G3341" i="1"/>
  <c r="G3342" i="1"/>
  <c r="F3343" i="1"/>
  <c r="G3344" i="1"/>
  <c r="E3345" i="1"/>
  <c r="F3346" i="1"/>
  <c r="G3347" i="1"/>
  <c r="G3348" i="1"/>
  <c r="F3349" i="1"/>
  <c r="G3350" i="1"/>
  <c r="G3351" i="1"/>
  <c r="F3352" i="1"/>
  <c r="G3353" i="1"/>
  <c r="C3354" i="1"/>
  <c r="D3355" i="1"/>
  <c r="E3356" i="1"/>
  <c r="F3357" i="1"/>
  <c r="G3358" i="1"/>
  <c r="F3359" i="1"/>
  <c r="G3360" i="1"/>
  <c r="F3361" i="1"/>
  <c r="G3362" i="1"/>
  <c r="F3363" i="1"/>
  <c r="G3364" i="1"/>
  <c r="E3365" i="1"/>
  <c r="F3366" i="1"/>
  <c r="G3367" i="1"/>
  <c r="G3368" i="1"/>
  <c r="F3369" i="1"/>
  <c r="G3370" i="1"/>
  <c r="G3371" i="1"/>
  <c r="G3372" i="1"/>
  <c r="F3373" i="1"/>
  <c r="G3374" i="1"/>
  <c r="G3375" i="1"/>
  <c r="F3376" i="1"/>
  <c r="G3377" i="1"/>
  <c r="E3378" i="1"/>
  <c r="F3379" i="1"/>
  <c r="G3380" i="1"/>
  <c r="G3381" i="1"/>
  <c r="G3382" i="1"/>
  <c r="F3383" i="1"/>
  <c r="G3384" i="1"/>
  <c r="F3385" i="1"/>
  <c r="G3386" i="1"/>
  <c r="E3387" i="1"/>
  <c r="F3388" i="1"/>
  <c r="G3389" i="1"/>
  <c r="G3390" i="1"/>
  <c r="G3391" i="1"/>
  <c r="G3392" i="1"/>
  <c r="F3393" i="1"/>
  <c r="G3394" i="1"/>
  <c r="F3395" i="1"/>
  <c r="G3396" i="1"/>
  <c r="C3397" i="1"/>
  <c r="D3398" i="1"/>
  <c r="E3399" i="1"/>
  <c r="F3400" i="1"/>
  <c r="G3401" i="1"/>
  <c r="G3402" i="1"/>
  <c r="F3403" i="1"/>
  <c r="G3404" i="1"/>
  <c r="F3405" i="1"/>
  <c r="G3406" i="1"/>
  <c r="G3407" i="1"/>
  <c r="G3408" i="1"/>
  <c r="F3409" i="1"/>
  <c r="G3410" i="1"/>
  <c r="G3411" i="1"/>
  <c r="G3412" i="1"/>
  <c r="G3413" i="1"/>
  <c r="G3414" i="1"/>
  <c r="F3415" i="1"/>
  <c r="G3416" i="1"/>
  <c r="G3417" i="1"/>
  <c r="G3418" i="1"/>
  <c r="F3419" i="1"/>
  <c r="G3420" i="1"/>
  <c r="G3421" i="1"/>
  <c r="G3422" i="1"/>
  <c r="G3423" i="1"/>
  <c r="G3424" i="1"/>
  <c r="G3425" i="1"/>
  <c r="F3426" i="1"/>
  <c r="G3427" i="1"/>
  <c r="F3428" i="1"/>
  <c r="G3429" i="1"/>
  <c r="G3430" i="1"/>
  <c r="G3431" i="1"/>
  <c r="G3432" i="1"/>
  <c r="G3433" i="1"/>
  <c r="G3434" i="1"/>
  <c r="F3435" i="1"/>
  <c r="G3436" i="1"/>
  <c r="E3437" i="1"/>
  <c r="F3438" i="1"/>
  <c r="G3439" i="1"/>
  <c r="F3440" i="1"/>
  <c r="G3441" i="1"/>
  <c r="F3442" i="1"/>
  <c r="G3443" i="1"/>
  <c r="D3444" i="1"/>
  <c r="E3445" i="1"/>
  <c r="F3446" i="1"/>
  <c r="G3447" i="1"/>
  <c r="G3448" i="1"/>
  <c r="G3449" i="1"/>
  <c r="G3450" i="1"/>
  <c r="F3451" i="1"/>
  <c r="G3452" i="1"/>
  <c r="G3453" i="1"/>
  <c r="G3454" i="1"/>
  <c r="G3455" i="1"/>
  <c r="G3456" i="1"/>
  <c r="G3457" i="1"/>
  <c r="G3458" i="1"/>
  <c r="F3459" i="1"/>
  <c r="G3460" i="1"/>
  <c r="E3461" i="1"/>
  <c r="F3462" i="1"/>
  <c r="F3463" i="1"/>
  <c r="F3464" i="1"/>
  <c r="G3465" i="1"/>
  <c r="F3466" i="1"/>
  <c r="G3467" i="1"/>
  <c r="C3468" i="1"/>
  <c r="D3469" i="1"/>
  <c r="E3470" i="1"/>
  <c r="F3471" i="1"/>
  <c r="G3472" i="1"/>
  <c r="G3473" i="1"/>
  <c r="G3474" i="1"/>
  <c r="G3475" i="1"/>
  <c r="F3476" i="1"/>
  <c r="G3477" i="1"/>
  <c r="C3478" i="1"/>
  <c r="D3479" i="1"/>
  <c r="E3480" i="1"/>
  <c r="F3481" i="1"/>
  <c r="G3482" i="1"/>
  <c r="G3483" i="1"/>
  <c r="G3484" i="1"/>
  <c r="F3485" i="1"/>
  <c r="G3486" i="1"/>
  <c r="E3487" i="1"/>
  <c r="F3488" i="1"/>
  <c r="G3489" i="1"/>
  <c r="G3490" i="1"/>
  <c r="F3491" i="1"/>
  <c r="G3492" i="1"/>
  <c r="G3493" i="1"/>
  <c r="F3494" i="1"/>
  <c r="G3495" i="1"/>
  <c r="E3496" i="1"/>
  <c r="F3497" i="1"/>
  <c r="G3498" i="1"/>
  <c r="G3499" i="1"/>
  <c r="G3500" i="1"/>
  <c r="G3501" i="1"/>
  <c r="G3502" i="1"/>
  <c r="G3503" i="1"/>
  <c r="G3504" i="1"/>
  <c r="F3505" i="1"/>
  <c r="G3506" i="1"/>
  <c r="F3507" i="1"/>
  <c r="G3508" i="1"/>
  <c r="C3509" i="1"/>
  <c r="D3510" i="1"/>
  <c r="E3511" i="1"/>
  <c r="F3512" i="1"/>
  <c r="G3513" i="1"/>
  <c r="G3514" i="1"/>
  <c r="G3515" i="1"/>
  <c r="G3516" i="1"/>
  <c r="G3517" i="1"/>
  <c r="F3518" i="1"/>
  <c r="G3519" i="1"/>
  <c r="B3520" i="1"/>
  <c r="C3521" i="1"/>
  <c r="D3522" i="1"/>
  <c r="E3523" i="1"/>
  <c r="F3524" i="1"/>
  <c r="G3525" i="1"/>
  <c r="F3526" i="1"/>
  <c r="G3527" i="1"/>
  <c r="G3528" i="1"/>
  <c r="G3529" i="1"/>
  <c r="G3530" i="1"/>
  <c r="G3531" i="1"/>
  <c r="G3532" i="1"/>
  <c r="F3533" i="1"/>
  <c r="G3534" i="1"/>
  <c r="G3535" i="1"/>
  <c r="F3536" i="1"/>
  <c r="G3537" i="1"/>
  <c r="F3538" i="1"/>
  <c r="G3539" i="1"/>
  <c r="E3540" i="1"/>
  <c r="F3541" i="1"/>
  <c r="G3542" i="1"/>
  <c r="G3543" i="1"/>
  <c r="G3544" i="1"/>
  <c r="F3545" i="1"/>
  <c r="G3546" i="1"/>
  <c r="F3547" i="1"/>
  <c r="G3548" i="1"/>
  <c r="F3549" i="1"/>
  <c r="G3550" i="1"/>
  <c r="E3551" i="1"/>
  <c r="F3552" i="1"/>
  <c r="G3553" i="1"/>
  <c r="F3554" i="1"/>
  <c r="G3555" i="1"/>
  <c r="G3556" i="1"/>
  <c r="G3557" i="1"/>
  <c r="G3558" i="1"/>
  <c r="F3559" i="1"/>
  <c r="G3560" i="1"/>
  <c r="G3561" i="1"/>
  <c r="F3562" i="1"/>
  <c r="G3563" i="1"/>
  <c r="F3564" i="1"/>
  <c r="G3565" i="1"/>
  <c r="C3566" i="1"/>
  <c r="D3567" i="1"/>
  <c r="E3568" i="1"/>
  <c r="F3569" i="1"/>
  <c r="G3570" i="1"/>
  <c r="F3571" i="1"/>
  <c r="G3572" i="1"/>
  <c r="G3573" i="1"/>
  <c r="G3574" i="1"/>
  <c r="F3575" i="1"/>
  <c r="G3576" i="1"/>
  <c r="G3577" i="1"/>
  <c r="F3578" i="1"/>
  <c r="G3579" i="1"/>
  <c r="C3580" i="1"/>
  <c r="D3581" i="1"/>
  <c r="E3582" i="1"/>
  <c r="F3583" i="1"/>
  <c r="G3584" i="1"/>
  <c r="G3585" i="1"/>
  <c r="F3586" i="1"/>
  <c r="G3587" i="1"/>
  <c r="D3588" i="1"/>
  <c r="E3589" i="1"/>
  <c r="F3590" i="1"/>
  <c r="G3591" i="1"/>
  <c r="G3592" i="1"/>
  <c r="G3593" i="1"/>
  <c r="G3594" i="1"/>
  <c r="F3595" i="1"/>
  <c r="G3596" i="1"/>
  <c r="D3597" i="1"/>
  <c r="E3598" i="1"/>
  <c r="F3599" i="1"/>
  <c r="G3600" i="1"/>
  <c r="G3601" i="1"/>
  <c r="G3602" i="1"/>
  <c r="G3603" i="1"/>
  <c r="F3604" i="1"/>
  <c r="G3605" i="1"/>
  <c r="C3606" i="1"/>
  <c r="D3607" i="1"/>
  <c r="E3608" i="1"/>
  <c r="F3609" i="1"/>
  <c r="G3610" i="1"/>
  <c r="G3611" i="1"/>
  <c r="G3612" i="1"/>
  <c r="G3613" i="1"/>
  <c r="G3614" i="1"/>
  <c r="F3615" i="1"/>
  <c r="G3616" i="1"/>
  <c r="F3617" i="1"/>
  <c r="G3618" i="1"/>
  <c r="E3619" i="1"/>
  <c r="F3620" i="1"/>
  <c r="G3621" i="1"/>
  <c r="G3622" i="1"/>
  <c r="G3623" i="1"/>
  <c r="G3624" i="1"/>
  <c r="F3625" i="1"/>
  <c r="G3626" i="1"/>
  <c r="G3627" i="1"/>
  <c r="G3628" i="1"/>
  <c r="F3629" i="1"/>
  <c r="G3630" i="1"/>
  <c r="F3631" i="1"/>
  <c r="G3632" i="1"/>
  <c r="C3633" i="1"/>
  <c r="D3634" i="1"/>
  <c r="E3635" i="1"/>
  <c r="F3636" i="1"/>
  <c r="G3637" i="1"/>
  <c r="G3638" i="1"/>
  <c r="G3639" i="1"/>
  <c r="G3640" i="1"/>
  <c r="F3641" i="1"/>
  <c r="G3642" i="1"/>
  <c r="G3643" i="1"/>
  <c r="F3644" i="1"/>
  <c r="G3645" i="1"/>
  <c r="G3646" i="1"/>
  <c r="F3647" i="1"/>
  <c r="G3648" i="1"/>
  <c r="E3649" i="1"/>
  <c r="F3650" i="1"/>
  <c r="G3651" i="1"/>
  <c r="G3652" i="1"/>
  <c r="G3653" i="1"/>
  <c r="G3654" i="1"/>
  <c r="G3655" i="1"/>
  <c r="G3656" i="1"/>
  <c r="G3657" i="1"/>
  <c r="G3658" i="1"/>
  <c r="F3659" i="1"/>
  <c r="G3660" i="1"/>
  <c r="F3661" i="1"/>
  <c r="G3662" i="1"/>
  <c r="E3663" i="1"/>
  <c r="F3664" i="1"/>
  <c r="G3665" i="1"/>
  <c r="G3666" i="1"/>
  <c r="G3667" i="1"/>
  <c r="G3668" i="1"/>
  <c r="F3669" i="1"/>
  <c r="G3670" i="1"/>
  <c r="F3671" i="1"/>
  <c r="G3672" i="1"/>
  <c r="C3673" i="1"/>
  <c r="D3674" i="1"/>
  <c r="E3675" i="1"/>
  <c r="F3676" i="1"/>
  <c r="G3677" i="1"/>
  <c r="F3678" i="1"/>
  <c r="G3679" i="1"/>
  <c r="E3680" i="1"/>
  <c r="F3681" i="1"/>
  <c r="G3682" i="1"/>
  <c r="G3683" i="1"/>
  <c r="G3684" i="1"/>
  <c r="F3685" i="1"/>
  <c r="G3686" i="1"/>
  <c r="F3687" i="1"/>
  <c r="G3688" i="1"/>
  <c r="E3689" i="1"/>
  <c r="F3690" i="1"/>
  <c r="G3691" i="1"/>
  <c r="G3692" i="1"/>
  <c r="G3693" i="1"/>
  <c r="F3694" i="1"/>
  <c r="G3695" i="1"/>
  <c r="F3696" i="1"/>
  <c r="G3697" i="1"/>
  <c r="G3698" i="1"/>
  <c r="G3699" i="1"/>
  <c r="F3700" i="1"/>
  <c r="G3701" i="1"/>
  <c r="F3702" i="1"/>
  <c r="G3703" i="1"/>
  <c r="F3704" i="1"/>
  <c r="G3705" i="1"/>
  <c r="G3706" i="1"/>
  <c r="G3707" i="1"/>
  <c r="G3708" i="1"/>
  <c r="G3709" i="1"/>
  <c r="G3710" i="1"/>
  <c r="F3711" i="1"/>
  <c r="G3712" i="1"/>
  <c r="B3713" i="1"/>
  <c r="C3714" i="1"/>
  <c r="D3715" i="1"/>
  <c r="E3716" i="1"/>
  <c r="F3717" i="1"/>
  <c r="G3718" i="1"/>
  <c r="G3719" i="1"/>
  <c r="G3720" i="1"/>
  <c r="F3721" i="1"/>
  <c r="G3722" i="1"/>
  <c r="G3723" i="1"/>
  <c r="G3724" i="1"/>
  <c r="G3725" i="1"/>
  <c r="F3726" i="1"/>
  <c r="G3727" i="1"/>
  <c r="G3728" i="1"/>
  <c r="G3729" i="1"/>
  <c r="F3730" i="1"/>
  <c r="G3731" i="1"/>
  <c r="G3732" i="1"/>
  <c r="F3733" i="1"/>
  <c r="G3734" i="1"/>
  <c r="D3735" i="1"/>
  <c r="E3736" i="1"/>
  <c r="F3737" i="1"/>
  <c r="G3738" i="1"/>
  <c r="G3739" i="1"/>
  <c r="G3740" i="1"/>
  <c r="G3741" i="1"/>
  <c r="G3742" i="1"/>
  <c r="G3743" i="1"/>
  <c r="F3744" i="1"/>
  <c r="G3745" i="1"/>
  <c r="F3746" i="1"/>
  <c r="G3747" i="1"/>
  <c r="D3748" i="1"/>
  <c r="E3749" i="1"/>
  <c r="F3750" i="1"/>
  <c r="G3751" i="1"/>
  <c r="G3752" i="1"/>
  <c r="G3753" i="1"/>
  <c r="G3754" i="1"/>
  <c r="F3755" i="1"/>
  <c r="G3756" i="1"/>
  <c r="G3757" i="1"/>
  <c r="G3758" i="1"/>
  <c r="G3759" i="1"/>
  <c r="G3760" i="1"/>
  <c r="G3761" i="1"/>
  <c r="G3762" i="1"/>
  <c r="G3763" i="1"/>
  <c r="F3764" i="1"/>
  <c r="G3765" i="1"/>
  <c r="G3766" i="1"/>
  <c r="F3767" i="1"/>
  <c r="G3768" i="1"/>
  <c r="E3769" i="1"/>
  <c r="F3770" i="1"/>
  <c r="G3771" i="1"/>
  <c r="G3772" i="1"/>
  <c r="G3773" i="1"/>
  <c r="F3774" i="1"/>
  <c r="G3775" i="1"/>
  <c r="F3776" i="1"/>
  <c r="G3777" i="1"/>
  <c r="D3778" i="1"/>
  <c r="E3779" i="1"/>
  <c r="F3780" i="1"/>
  <c r="G3781" i="1"/>
  <c r="F3782" i="1"/>
  <c r="G3783" i="1"/>
  <c r="G3784" i="1"/>
  <c r="G3785" i="1"/>
  <c r="G3786" i="1"/>
  <c r="G3787" i="1"/>
  <c r="G3788" i="1"/>
  <c r="F3789" i="1"/>
  <c r="G3790" i="1"/>
  <c r="G3791" i="1"/>
  <c r="G3792" i="1"/>
  <c r="F3793" i="1"/>
  <c r="G3794" i="1"/>
  <c r="D3795" i="1"/>
  <c r="E3796" i="1"/>
  <c r="F3797" i="1"/>
  <c r="G3798" i="1"/>
  <c r="G3799" i="1"/>
  <c r="G3800" i="1"/>
  <c r="F3801" i="1"/>
  <c r="G3802" i="1"/>
  <c r="F3803" i="1"/>
  <c r="G3804" i="1"/>
  <c r="D3805" i="1"/>
  <c r="E3806" i="1"/>
  <c r="F3807" i="1"/>
  <c r="G3808" i="1"/>
  <c r="G3809" i="1"/>
  <c r="G3810" i="1"/>
  <c r="G3811" i="1"/>
  <c r="G3812" i="1"/>
  <c r="G3813" i="1"/>
  <c r="G3814" i="1"/>
  <c r="G3815" i="1"/>
  <c r="F3816" i="1"/>
  <c r="G3817" i="1"/>
  <c r="G3818" i="1"/>
  <c r="F3819" i="1"/>
  <c r="G3820" i="1"/>
  <c r="D3821" i="1"/>
  <c r="E3822" i="1"/>
  <c r="F3823" i="1"/>
  <c r="G3824" i="1"/>
  <c r="G3825" i="1"/>
  <c r="G3826" i="1"/>
  <c r="F3827" i="1"/>
  <c r="G3828" i="1"/>
  <c r="G3829" i="1"/>
  <c r="G3830" i="1"/>
  <c r="G3831" i="1"/>
  <c r="F3832" i="1"/>
  <c r="G3833" i="1"/>
  <c r="G3834" i="1"/>
  <c r="G3835" i="1"/>
  <c r="F3836" i="1"/>
  <c r="G3837" i="1"/>
  <c r="D3838" i="1"/>
  <c r="E3839" i="1"/>
  <c r="F3840" i="1"/>
  <c r="G3841" i="1"/>
  <c r="G3842" i="1"/>
  <c r="F3843" i="1"/>
  <c r="G3844" i="1"/>
  <c r="G3845" i="1"/>
  <c r="F3846" i="1"/>
  <c r="G3847" i="1"/>
  <c r="D3848" i="1"/>
  <c r="E3849" i="1"/>
  <c r="F3850" i="1"/>
  <c r="G3851" i="1"/>
  <c r="G3852" i="1"/>
  <c r="G3853" i="1"/>
  <c r="F3854" i="1"/>
  <c r="G3855" i="1"/>
  <c r="F3856" i="1"/>
  <c r="G3857" i="1"/>
  <c r="F3858" i="1"/>
  <c r="G3859" i="1"/>
  <c r="E3860" i="1"/>
  <c r="F3861" i="1"/>
  <c r="G3862" i="1"/>
  <c r="G3863" i="1"/>
  <c r="G3864" i="1"/>
  <c r="F3865" i="1"/>
  <c r="G3866" i="1"/>
  <c r="G3867" i="1"/>
  <c r="G3868" i="1"/>
  <c r="F3869" i="1"/>
  <c r="G3870" i="1"/>
  <c r="G3871" i="1"/>
  <c r="G3872" i="1"/>
  <c r="F3873" i="1"/>
  <c r="G3874" i="1"/>
  <c r="G3875" i="1"/>
  <c r="G3876" i="1"/>
  <c r="F3877" i="1"/>
  <c r="G3878" i="1"/>
  <c r="F3879" i="1"/>
  <c r="G3880" i="1"/>
  <c r="F3881" i="1"/>
  <c r="G3882" i="1"/>
  <c r="F3883" i="1"/>
  <c r="G3884" i="1"/>
  <c r="G3885" i="1"/>
  <c r="G3886" i="1"/>
  <c r="G3887" i="1"/>
  <c r="G3888" i="1"/>
  <c r="G3889" i="1"/>
  <c r="G3890" i="1"/>
  <c r="F3891" i="1"/>
  <c r="G3892" i="1"/>
  <c r="C3893" i="1"/>
  <c r="D3894" i="1"/>
  <c r="E3895" i="1"/>
  <c r="F3896" i="1"/>
  <c r="G3897" i="1"/>
  <c r="F3898" i="1"/>
  <c r="G3899" i="1"/>
  <c r="F3900" i="1"/>
  <c r="G3901" i="1"/>
  <c r="E3902" i="1"/>
  <c r="F3903" i="1"/>
  <c r="G3904" i="1"/>
  <c r="G3905" i="1"/>
  <c r="G3906" i="1"/>
  <c r="G3907" i="1"/>
  <c r="G3908" i="1"/>
  <c r="F3909" i="1"/>
  <c r="G3910" i="1"/>
  <c r="F3911" i="1"/>
  <c r="G3912" i="1"/>
  <c r="G3913" i="1"/>
  <c r="G3914" i="1"/>
  <c r="G3915" i="1"/>
  <c r="G3916" i="1"/>
  <c r="F3917" i="1"/>
  <c r="G3918" i="1"/>
  <c r="F3919" i="1"/>
  <c r="G3920" i="1"/>
  <c r="F3921" i="1"/>
  <c r="G3922" i="1"/>
  <c r="G3923" i="1"/>
  <c r="G3924" i="1"/>
  <c r="G3925" i="1"/>
  <c r="G3926" i="1"/>
  <c r="G3927" i="1"/>
  <c r="F3928" i="1"/>
  <c r="G3929" i="1"/>
  <c r="G3930" i="1"/>
  <c r="G3931" i="1"/>
  <c r="G3932" i="1"/>
  <c r="G3933" i="1"/>
  <c r="G3934" i="1"/>
  <c r="F3935" i="1"/>
  <c r="G3936" i="1"/>
  <c r="D3937" i="1"/>
  <c r="E3938" i="1"/>
  <c r="F3939" i="1"/>
  <c r="G3940" i="1"/>
  <c r="G3941" i="1"/>
  <c r="F3942" i="1"/>
  <c r="G3943" i="1"/>
  <c r="G3944" i="1"/>
  <c r="G3945" i="1"/>
  <c r="G3946" i="1"/>
  <c r="F3947" i="1"/>
  <c r="G3948" i="1"/>
  <c r="G3949" i="1"/>
  <c r="G3950" i="1"/>
  <c r="G3951" i="1"/>
  <c r="F3952" i="1"/>
  <c r="G3953" i="1"/>
  <c r="F3954" i="1"/>
  <c r="G3955" i="1"/>
  <c r="E3956" i="1"/>
  <c r="F3957" i="1"/>
  <c r="G3958" i="1"/>
  <c r="G3959" i="1"/>
  <c r="F3960" i="1"/>
  <c r="G3961" i="1"/>
  <c r="F3962" i="1"/>
  <c r="G3963" i="1"/>
  <c r="D3964" i="1"/>
  <c r="E3965" i="1"/>
  <c r="F3966" i="1"/>
  <c r="G3967" i="1"/>
  <c r="F3968" i="1"/>
  <c r="G3969" i="1"/>
  <c r="F3970" i="1"/>
  <c r="G3971" i="1"/>
  <c r="D3972" i="1"/>
  <c r="E3973" i="1"/>
  <c r="F3974" i="1"/>
  <c r="G3975" i="1"/>
  <c r="G3976" i="1"/>
  <c r="F3977" i="1"/>
  <c r="G3978" i="1"/>
  <c r="G3979" i="1"/>
  <c r="G3980" i="1"/>
  <c r="G3981" i="1"/>
  <c r="G3982" i="1"/>
  <c r="G3983" i="1"/>
  <c r="G3984" i="1"/>
  <c r="G3985" i="1"/>
  <c r="G3986" i="1"/>
  <c r="F3987" i="1"/>
  <c r="G3988" i="1"/>
  <c r="F3989" i="1"/>
  <c r="G3990" i="1"/>
  <c r="F3991" i="1"/>
  <c r="G3992" i="1"/>
  <c r="F3993" i="1"/>
  <c r="G3994" i="1"/>
  <c r="G3995" i="1"/>
  <c r="F3996" i="1"/>
  <c r="G3997" i="1"/>
  <c r="D3998" i="1"/>
  <c r="E3999" i="1"/>
  <c r="F4000" i="1"/>
  <c r="G4001" i="1"/>
  <c r="G4002" i="1"/>
  <c r="G4003" i="1"/>
  <c r="G4004" i="1"/>
  <c r="G4005" i="1"/>
  <c r="G4006" i="1"/>
  <c r="G4007" i="1"/>
  <c r="G4008" i="1"/>
  <c r="F4009" i="1"/>
  <c r="G4010" i="1"/>
  <c r="F4011" i="1"/>
  <c r="G4012" i="1"/>
  <c r="G4013" i="1"/>
  <c r="G4014" i="1"/>
  <c r="G4015" i="1"/>
  <c r="F4016" i="1"/>
  <c r="G4017" i="1"/>
  <c r="D4018" i="1"/>
  <c r="E4019" i="1"/>
  <c r="F4020" i="1"/>
  <c r="G4021" i="1"/>
  <c r="G4022" i="1"/>
  <c r="G4023" i="1"/>
  <c r="G4024" i="1"/>
  <c r="G4025" i="1"/>
  <c r="F4026" i="1"/>
  <c r="G4027" i="1"/>
  <c r="F4028" i="1"/>
  <c r="G4029" i="1"/>
  <c r="E4030" i="1"/>
  <c r="F4031" i="1"/>
  <c r="G4032" i="1"/>
  <c r="G4033" i="1"/>
  <c r="G4034" i="1"/>
  <c r="G4035" i="1"/>
  <c r="F4036" i="1"/>
  <c r="G4037" i="1"/>
  <c r="F4038" i="1"/>
  <c r="G4039" i="1"/>
  <c r="F4040" i="1"/>
  <c r="G4041" i="1"/>
  <c r="G4042" i="1"/>
  <c r="G4043" i="1"/>
  <c r="F4044" i="1"/>
  <c r="G4045" i="1"/>
  <c r="D4046" i="1"/>
  <c r="E4047" i="1"/>
  <c r="F4048" i="1"/>
  <c r="G4049" i="1"/>
  <c r="F4050" i="1"/>
  <c r="G4051" i="1"/>
  <c r="F4052" i="1"/>
  <c r="G4053" i="1"/>
  <c r="E4054" i="1"/>
  <c r="F4055" i="1"/>
  <c r="G4056" i="1"/>
  <c r="F4057" i="1"/>
  <c r="G4058" i="1"/>
  <c r="F4059" i="1"/>
  <c r="G4060" i="1"/>
  <c r="E4061" i="1"/>
  <c r="F4062" i="1"/>
  <c r="G4063" i="1"/>
  <c r="G4064" i="1"/>
  <c r="G4065" i="1"/>
  <c r="G4066" i="1"/>
  <c r="F4067" i="1"/>
  <c r="G4068" i="1"/>
  <c r="F4069" i="1"/>
  <c r="G4070" i="1"/>
  <c r="G4071" i="1"/>
  <c r="G4072" i="1"/>
  <c r="F4073" i="1"/>
  <c r="G4074" i="1"/>
  <c r="G4075" i="1"/>
  <c r="G4076" i="1"/>
  <c r="F4077" i="1"/>
  <c r="G4078" i="1"/>
  <c r="B4079" i="1"/>
  <c r="C4080" i="1"/>
  <c r="D4081" i="1"/>
  <c r="E4082" i="1"/>
  <c r="F4083" i="1"/>
  <c r="G4084" i="1"/>
  <c r="G4085" i="1"/>
  <c r="G4086" i="1"/>
  <c r="F4087" i="1"/>
  <c r="G4088" i="1"/>
  <c r="F4089" i="1"/>
  <c r="G4090" i="1"/>
  <c r="E4091" i="1"/>
  <c r="F4092" i="1"/>
  <c r="G4093" i="1"/>
  <c r="G4094" i="1"/>
  <c r="G4095" i="1"/>
  <c r="G4096" i="1"/>
  <c r="F4097" i="1"/>
  <c r="G4098" i="1"/>
  <c r="E4099" i="1"/>
  <c r="F4100" i="1"/>
  <c r="G4101" i="1"/>
  <c r="G4102" i="1"/>
  <c r="G4103" i="1"/>
  <c r="G4104" i="1"/>
  <c r="F4105" i="1"/>
  <c r="G4106" i="1"/>
  <c r="E4107" i="1"/>
  <c r="F4108" i="1"/>
  <c r="G4109" i="1"/>
  <c r="F4110" i="1"/>
  <c r="G4111" i="1"/>
  <c r="E4112" i="1"/>
  <c r="F4113" i="1"/>
  <c r="G4114" i="1"/>
  <c r="G4115" i="1"/>
  <c r="G4116" i="1"/>
  <c r="F4117" i="1"/>
  <c r="G4118" i="1"/>
  <c r="G4119" i="1"/>
  <c r="G4120" i="1"/>
  <c r="F4121" i="1"/>
  <c r="G4122" i="1"/>
  <c r="C4123" i="1"/>
  <c r="D4124" i="1"/>
  <c r="E4125" i="1"/>
  <c r="F4126" i="1"/>
  <c r="G4127" i="1"/>
  <c r="F4128" i="1"/>
  <c r="G4129" i="1"/>
  <c r="E4130" i="1"/>
  <c r="F4131" i="1"/>
  <c r="G4132" i="1"/>
  <c r="G4133" i="1"/>
  <c r="F4134" i="1"/>
  <c r="G4135" i="1"/>
  <c r="F4136" i="1"/>
  <c r="G4137" i="1"/>
  <c r="E4138" i="1"/>
  <c r="F4139" i="1"/>
  <c r="G4140" i="1"/>
  <c r="F4141" i="1"/>
  <c r="G4142" i="1"/>
  <c r="C4143" i="1"/>
  <c r="D4144" i="1"/>
  <c r="E4145" i="1"/>
  <c r="F4146" i="1"/>
  <c r="G4147" i="1"/>
  <c r="F4148" i="1"/>
  <c r="G4149" i="1"/>
  <c r="E4150" i="1"/>
  <c r="F4151" i="1"/>
  <c r="G4152" i="1"/>
  <c r="F4153" i="1"/>
  <c r="G4154" i="1"/>
  <c r="G4155" i="1"/>
  <c r="G4156" i="1"/>
  <c r="F4157" i="1"/>
  <c r="G4158" i="1"/>
  <c r="F4159" i="1"/>
  <c r="G4160" i="1"/>
  <c r="E4161" i="1"/>
  <c r="F4162" i="1"/>
  <c r="G4163" i="1"/>
  <c r="F4164" i="1"/>
  <c r="G4165" i="1"/>
  <c r="F4166" i="1"/>
  <c r="G4167" i="1"/>
  <c r="B4168" i="1"/>
  <c r="C4169" i="1"/>
  <c r="D4170" i="1"/>
  <c r="E4171" i="1"/>
  <c r="F4172" i="1"/>
  <c r="G4173" i="1"/>
  <c r="F4174" i="1"/>
  <c r="G4175" i="1"/>
  <c r="G4176" i="1"/>
  <c r="G4177" i="1"/>
  <c r="G4178" i="1"/>
  <c r="F4179" i="1"/>
  <c r="G4180" i="1"/>
  <c r="G4181" i="1"/>
  <c r="G4182" i="1"/>
  <c r="F4183" i="1"/>
  <c r="G4184" i="1"/>
  <c r="F4185" i="1"/>
  <c r="G4186" i="1"/>
  <c r="F4187" i="1"/>
  <c r="G4188" i="1"/>
  <c r="D4189" i="1"/>
  <c r="E4190" i="1"/>
  <c r="F4191" i="1"/>
  <c r="G4192" i="1"/>
  <c r="G4193" i="1"/>
  <c r="G4194" i="1"/>
  <c r="F4195" i="1"/>
  <c r="G4196" i="1"/>
  <c r="C4197" i="1"/>
  <c r="D4198" i="1"/>
  <c r="E4199" i="1"/>
  <c r="F4200" i="1"/>
  <c r="G4201" i="1"/>
  <c r="G4202" i="1"/>
  <c r="G4203" i="1"/>
  <c r="F4204" i="1"/>
  <c r="G4205" i="1"/>
  <c r="F4206" i="1"/>
  <c r="G4207" i="1"/>
  <c r="G4208" i="1"/>
  <c r="G4209" i="1"/>
  <c r="F4210" i="1"/>
  <c r="G4211" i="1"/>
  <c r="F4212" i="1"/>
  <c r="G4213" i="1"/>
  <c r="C4214" i="1"/>
  <c r="D4215" i="1"/>
  <c r="E4216" i="1"/>
  <c r="F4217" i="1"/>
  <c r="G4218" i="1"/>
  <c r="G4219" i="1"/>
  <c r="G4220" i="1"/>
  <c r="G4221" i="1"/>
  <c r="G4222" i="1"/>
  <c r="G4223" i="1"/>
  <c r="F4224" i="1"/>
  <c r="G4225" i="1"/>
  <c r="F4226" i="1"/>
  <c r="G4227" i="1"/>
  <c r="G4228" i="1"/>
  <c r="F4229" i="1"/>
  <c r="G4230" i="1"/>
  <c r="F4231" i="1"/>
  <c r="G4232" i="1"/>
  <c r="F4233" i="1"/>
  <c r="G4234" i="1"/>
  <c r="C4235" i="1"/>
  <c r="D4236" i="1"/>
  <c r="E4237" i="1"/>
  <c r="F4238" i="1"/>
  <c r="G4239" i="1"/>
  <c r="F4240" i="1"/>
  <c r="G4241" i="1"/>
  <c r="C4242" i="1"/>
  <c r="D4243" i="1"/>
  <c r="E4244" i="1"/>
  <c r="F4245" i="1"/>
  <c r="G4246" i="1"/>
  <c r="G4247" i="1"/>
  <c r="G4248" i="1"/>
  <c r="F4249" i="1"/>
  <c r="G4250" i="1"/>
  <c r="E4251" i="1"/>
  <c r="F4252" i="1"/>
  <c r="G4253" i="1"/>
  <c r="F4254" i="1"/>
  <c r="G4255" i="1"/>
  <c r="F4256" i="1"/>
  <c r="G4257" i="1"/>
  <c r="D4258" i="1"/>
  <c r="E4259" i="1"/>
  <c r="F4260" i="1"/>
  <c r="G4261" i="1"/>
  <c r="F4262" i="1"/>
  <c r="G4263" i="1"/>
  <c r="F4264" i="1"/>
  <c r="G4265" i="1"/>
  <c r="E4266" i="1"/>
  <c r="F4267" i="1"/>
  <c r="G4268" i="1"/>
  <c r="F4269" i="1"/>
  <c r="G4270" i="1"/>
  <c r="F4271" i="1"/>
  <c r="G4272" i="1"/>
  <c r="D4273" i="1"/>
  <c r="E4274" i="1"/>
  <c r="F4275" i="1"/>
  <c r="G4276" i="1"/>
  <c r="F4277" i="1"/>
  <c r="G4278" i="1"/>
  <c r="B4279" i="1"/>
  <c r="C4280" i="1"/>
  <c r="D4281" i="1"/>
  <c r="E4282" i="1"/>
  <c r="F4283" i="1"/>
  <c r="G4284" i="1"/>
  <c r="G4285" i="1"/>
  <c r="G4286" i="1"/>
  <c r="F4287" i="1"/>
  <c r="G4288" i="1"/>
  <c r="F4289" i="1"/>
  <c r="G4290" i="1"/>
  <c r="E4291" i="1"/>
  <c r="F4292" i="1"/>
  <c r="G4293" i="1"/>
  <c r="G4294" i="1"/>
  <c r="F4295" i="1"/>
  <c r="G4296" i="1"/>
  <c r="F4297" i="1"/>
  <c r="G4298" i="1"/>
  <c r="E4299" i="1"/>
  <c r="F4300" i="1"/>
  <c r="G4301" i="1"/>
  <c r="G4302" i="1"/>
  <c r="F4303" i="1"/>
  <c r="G4304" i="1"/>
  <c r="E4305" i="1"/>
  <c r="F4306" i="1"/>
  <c r="G4307" i="1"/>
  <c r="G4308" i="1"/>
  <c r="F4309" i="1"/>
  <c r="G4310" i="1"/>
  <c r="F4311" i="1"/>
  <c r="G4312" i="1"/>
  <c r="G4313" i="1"/>
  <c r="G4314" i="1"/>
  <c r="B4315" i="1"/>
  <c r="C4316" i="1"/>
  <c r="D4317" i="1"/>
  <c r="E4318" i="1"/>
  <c r="F4319" i="1"/>
  <c r="G4320" i="1"/>
  <c r="G4321" i="1"/>
  <c r="G4322" i="1"/>
  <c r="F4323" i="1"/>
  <c r="G4324" i="1"/>
  <c r="E4325" i="1"/>
  <c r="F4326" i="1"/>
  <c r="G4327" i="1"/>
  <c r="F4328" i="1"/>
  <c r="G4329" i="1"/>
  <c r="G4330" i="1"/>
  <c r="G4331" i="1"/>
  <c r="F4332" i="1"/>
  <c r="G4333" i="1"/>
  <c r="E4334" i="1"/>
  <c r="F4335" i="1"/>
  <c r="G4336" i="1"/>
  <c r="F4337" i="1"/>
  <c r="G4338" i="1"/>
  <c r="F4339" i="1"/>
  <c r="G4340" i="1"/>
  <c r="D4341" i="1"/>
  <c r="E4342" i="1"/>
  <c r="F4343" i="1"/>
  <c r="G4344" i="1"/>
  <c r="G4345" i="1"/>
  <c r="F4346" i="1"/>
  <c r="G4347" i="1"/>
  <c r="C4348" i="1"/>
  <c r="D4349" i="1"/>
  <c r="E4350" i="1"/>
  <c r="F4351" i="1"/>
  <c r="G4352" i="1"/>
  <c r="G4353" i="1"/>
  <c r="G4354" i="1"/>
  <c r="F4355" i="1"/>
  <c r="G4356" i="1"/>
  <c r="F4357" i="1"/>
  <c r="G4358" i="1"/>
  <c r="E4359" i="1"/>
  <c r="F4360" i="1"/>
  <c r="G4361" i="1"/>
  <c r="G4362" i="1"/>
  <c r="G4363" i="1"/>
  <c r="G4364" i="1"/>
  <c r="G4365" i="1"/>
  <c r="G4366" i="1"/>
  <c r="F4367" i="1"/>
  <c r="G4368" i="1"/>
  <c r="F4369" i="1"/>
  <c r="G4370" i="1"/>
  <c r="C4371" i="1"/>
  <c r="D4372" i="1"/>
  <c r="E4373" i="1"/>
  <c r="F4374" i="1"/>
  <c r="G4375" i="1"/>
  <c r="F4376" i="1"/>
  <c r="G4377" i="1"/>
  <c r="E4378" i="1"/>
  <c r="F4379" i="1"/>
  <c r="G4380" i="1"/>
  <c r="F4381" i="1"/>
  <c r="G4382" i="1"/>
  <c r="E4383" i="1"/>
  <c r="F4384" i="1"/>
  <c r="G4385" i="1"/>
  <c r="F4386" i="1"/>
  <c r="G4387" i="1"/>
  <c r="E4388" i="1"/>
  <c r="F4389" i="1"/>
  <c r="G4390" i="1"/>
  <c r="F4391" i="1"/>
  <c r="G4392" i="1"/>
  <c r="G4393" i="1"/>
  <c r="F4394" i="1"/>
  <c r="G4395" i="1"/>
  <c r="C4396" i="1"/>
  <c r="D4397" i="1"/>
  <c r="E4398" i="1"/>
  <c r="F4399" i="1"/>
  <c r="G4400" i="1"/>
  <c r="F4401" i="1"/>
  <c r="G4402" i="1"/>
  <c r="E4403" i="1"/>
  <c r="F4404" i="1"/>
  <c r="G4405" i="1"/>
  <c r="G4406" i="1"/>
  <c r="G4407" i="1"/>
  <c r="F4408" i="1"/>
  <c r="G4409" i="1"/>
  <c r="E4410" i="1"/>
  <c r="F4411" i="1"/>
  <c r="G4412" i="1"/>
  <c r="F4413" i="1"/>
  <c r="G4414" i="1"/>
  <c r="G4415" i="1"/>
  <c r="G4416" i="1"/>
  <c r="G4417" i="1"/>
  <c r="F4418" i="1"/>
  <c r="G4419" i="1"/>
  <c r="C4420" i="1"/>
  <c r="D4421" i="1"/>
  <c r="E4422" i="1"/>
  <c r="F4423" i="1"/>
  <c r="G4424" i="1"/>
  <c r="G4425" i="1"/>
  <c r="F4426" i="1"/>
  <c r="G4427" i="1"/>
  <c r="G4428" i="1"/>
  <c r="G4429" i="1"/>
  <c r="F4430" i="1"/>
  <c r="G4431" i="1"/>
  <c r="F4432" i="1"/>
  <c r="G4433" i="1"/>
  <c r="G4434" i="1"/>
  <c r="G4435" i="1"/>
  <c r="F4436" i="1"/>
  <c r="G4437" i="1"/>
  <c r="F4438" i="1"/>
  <c r="G4439" i="1"/>
  <c r="E4440" i="1"/>
  <c r="F4441" i="1"/>
  <c r="G4442" i="1"/>
  <c r="G4443" i="1"/>
  <c r="G4444" i="1"/>
  <c r="G4445" i="1"/>
  <c r="G4446" i="1"/>
  <c r="F4447" i="1"/>
  <c r="G4448" i="1"/>
  <c r="C4449" i="1"/>
  <c r="D4450" i="1"/>
  <c r="E4451" i="1"/>
  <c r="F4452" i="1"/>
  <c r="G4453" i="1"/>
  <c r="G4454" i="1"/>
  <c r="G4455" i="1"/>
  <c r="F4456" i="1"/>
  <c r="G4457" i="1"/>
  <c r="E4458" i="1"/>
  <c r="F4459" i="1"/>
  <c r="G4460" i="1"/>
  <c r="G4461" i="1"/>
  <c r="G4462" i="1"/>
  <c r="G4463" i="1"/>
  <c r="G4464" i="1"/>
  <c r="F4465" i="1"/>
  <c r="G4466" i="1"/>
  <c r="E4467" i="1"/>
  <c r="F4468" i="1"/>
  <c r="G4469" i="1"/>
  <c r="G4470" i="1"/>
  <c r="G4471" i="1"/>
  <c r="F4472" i="1"/>
  <c r="G4473" i="1"/>
  <c r="E4474" i="1"/>
  <c r="F4475" i="1"/>
  <c r="G4476" i="1"/>
  <c r="F4477" i="1"/>
  <c r="G4478" i="1"/>
  <c r="E4479" i="1"/>
  <c r="F4480" i="1"/>
  <c r="G4481" i="1"/>
  <c r="G4482" i="1"/>
  <c r="G4483" i="1"/>
  <c r="F4484" i="1"/>
  <c r="G4485" i="1"/>
  <c r="F4486" i="1"/>
  <c r="G4487" i="1"/>
  <c r="G4488" i="1"/>
  <c r="G4489" i="1"/>
  <c r="F4490" i="1"/>
  <c r="G4491" i="1"/>
  <c r="G4492" i="1"/>
  <c r="G4493" i="1"/>
  <c r="G4494" i="1"/>
  <c r="G4495" i="1"/>
  <c r="F4496" i="1"/>
  <c r="G4497" i="1"/>
  <c r="F4498" i="1"/>
  <c r="G4499" i="1"/>
  <c r="B4500" i="1"/>
  <c r="C4501" i="1"/>
  <c r="D4502" i="1"/>
  <c r="E4503" i="1"/>
  <c r="F4504" i="1"/>
  <c r="G4505" i="1"/>
  <c r="G4506" i="1"/>
  <c r="G4507" i="1"/>
  <c r="G4508" i="1"/>
  <c r="G4509" i="1"/>
  <c r="D4510" i="1"/>
  <c r="E4511" i="1"/>
  <c r="F4512" i="1"/>
  <c r="G4513" i="1"/>
  <c r="G4514" i="1"/>
  <c r="G4515" i="1"/>
  <c r="G4516" i="1"/>
  <c r="G4517" i="1"/>
  <c r="G4518" i="1"/>
  <c r="G4519" i="1"/>
  <c r="G4520" i="1"/>
  <c r="G4521" i="1"/>
  <c r="E4522" i="1"/>
  <c r="F4523" i="1"/>
  <c r="G4524" i="1"/>
  <c r="G4525" i="1"/>
  <c r="G4526" i="1"/>
  <c r="G4527" i="1"/>
  <c r="G4528" i="1"/>
  <c r="G4529" i="1"/>
  <c r="G4530" i="1"/>
  <c r="G4531" i="1"/>
  <c r="G4532" i="1"/>
  <c r="D4533" i="1"/>
  <c r="E4534" i="1"/>
  <c r="F4535" i="1"/>
  <c r="G4536" i="1"/>
  <c r="E4537" i="1"/>
  <c r="F4538" i="1"/>
  <c r="G4539" i="1"/>
  <c r="E4540" i="1"/>
  <c r="F4541" i="1"/>
  <c r="G4542" i="1"/>
  <c r="D4543" i="1"/>
  <c r="E4544" i="1"/>
  <c r="F4545" i="1"/>
  <c r="G4546" i="1"/>
  <c r="E4547" i="1"/>
  <c r="F4548" i="1"/>
  <c r="G4549" i="1"/>
  <c r="E4550" i="1"/>
  <c r="F4551" i="1"/>
  <c r="G4552" i="1"/>
  <c r="D4553" i="1"/>
  <c r="E4554" i="1"/>
  <c r="F4555" i="1"/>
  <c r="G4556" i="1"/>
  <c r="E4557" i="1"/>
  <c r="F4558" i="1"/>
  <c r="G4559" i="1"/>
  <c r="E4560" i="1"/>
  <c r="F4561" i="1"/>
  <c r="G4562" i="1"/>
  <c r="G4563" i="1"/>
  <c r="D4564" i="1"/>
  <c r="E4565" i="1"/>
  <c r="F4566" i="1"/>
  <c r="G4567" i="1"/>
  <c r="C4568" i="1"/>
  <c r="D4569" i="1"/>
  <c r="E4570" i="1"/>
  <c r="F4571" i="1"/>
  <c r="G4572" i="1"/>
  <c r="G4573" i="1"/>
  <c r="F4574" i="1"/>
  <c r="G4575" i="1"/>
  <c r="G4576" i="1"/>
  <c r="F4577" i="1"/>
  <c r="G4578" i="1"/>
  <c r="G4579" i="1"/>
  <c r="G4580" i="1"/>
  <c r="G4581" i="1"/>
  <c r="G4582" i="1"/>
  <c r="G4583" i="1"/>
  <c r="G4584" i="1"/>
  <c r="G4585" i="1"/>
  <c r="G4586" i="1"/>
  <c r="F4587" i="1"/>
  <c r="G4588" i="1"/>
  <c r="G4589" i="1"/>
  <c r="F4590" i="1"/>
  <c r="G4591" i="1"/>
  <c r="F4592" i="1"/>
  <c r="G4593" i="1"/>
  <c r="F4594" i="1"/>
  <c r="G4595" i="1"/>
  <c r="B4597" i="1"/>
  <c r="C4598" i="1"/>
  <c r="D4599" i="1"/>
  <c r="E4600" i="1"/>
  <c r="F4601" i="1"/>
  <c r="G4602" i="1"/>
  <c r="F4603" i="1"/>
  <c r="G4604" i="1"/>
  <c r="E4605" i="1"/>
  <c r="F4606" i="1"/>
  <c r="G4607" i="1"/>
  <c r="F4608" i="1"/>
  <c r="G4609" i="1"/>
  <c r="C4610" i="1"/>
  <c r="D4611" i="1"/>
  <c r="E4612" i="1"/>
  <c r="F4613" i="1"/>
  <c r="G4614" i="1"/>
  <c r="E4615" i="1"/>
  <c r="F4616" i="1"/>
  <c r="G4617" i="1"/>
  <c r="F4618" i="1"/>
  <c r="G4619" i="1"/>
  <c r="C4620" i="1"/>
  <c r="D4621" i="1"/>
  <c r="E4622" i="1"/>
  <c r="F4623" i="1"/>
  <c r="G4624" i="1"/>
  <c r="E4625" i="1"/>
  <c r="F4626" i="1"/>
  <c r="G4627" i="1"/>
  <c r="F4628" i="1"/>
  <c r="G4629" i="1"/>
  <c r="F4630" i="1"/>
  <c r="G4631" i="1"/>
  <c r="B4633" i="1"/>
  <c r="C4634" i="1"/>
  <c r="D4635" i="1"/>
  <c r="E4636" i="1"/>
  <c r="F4637" i="1"/>
  <c r="G4638" i="1"/>
  <c r="E4639" i="1"/>
  <c r="F4640" i="1"/>
  <c r="G4641" i="1"/>
  <c r="F4642" i="1"/>
  <c r="G4643" i="1"/>
  <c r="E4644" i="1"/>
  <c r="F4645" i="1"/>
  <c r="G4646" i="1"/>
  <c r="F4647" i="1"/>
  <c r="G4648" i="1"/>
  <c r="E4649" i="1"/>
  <c r="F4650" i="1"/>
  <c r="G4651" i="1"/>
  <c r="F4652" i="1"/>
  <c r="G4653" i="1"/>
  <c r="B4654" i="1"/>
  <c r="C4655" i="1"/>
  <c r="D4656" i="1"/>
  <c r="E4657" i="1"/>
  <c r="F4658" i="1"/>
  <c r="G4659" i="1"/>
  <c r="G4660" i="1"/>
  <c r="F4661" i="1"/>
  <c r="G4662" i="1"/>
  <c r="B4663" i="1"/>
  <c r="C4664" i="1"/>
  <c r="D4665" i="1"/>
  <c r="E4666" i="1"/>
  <c r="F4667" i="1"/>
  <c r="G4668" i="1"/>
  <c r="G4669" i="1"/>
  <c r="F4670" i="1"/>
  <c r="G4671" i="1"/>
  <c r="G4672" i="1"/>
  <c r="F4673" i="1"/>
  <c r="G4674" i="1"/>
  <c r="G4675" i="1"/>
  <c r="F4676" i="1"/>
  <c r="G4677" i="1"/>
  <c r="G4678" i="1"/>
  <c r="F4679" i="1"/>
  <c r="G4680" i="1"/>
  <c r="G4681" i="1"/>
  <c r="G4682" i="1"/>
  <c r="G4683" i="1"/>
  <c r="G4684" i="1"/>
  <c r="G4685" i="1"/>
  <c r="G4686" i="1"/>
  <c r="G4687" i="1"/>
  <c r="F4688" i="1"/>
  <c r="G4689" i="1"/>
  <c r="G4690" i="1"/>
  <c r="D4691" i="1"/>
  <c r="E4692" i="1"/>
  <c r="F4693" i="1"/>
  <c r="G4694" i="1"/>
  <c r="G4695" i="1"/>
  <c r="G4696" i="1"/>
  <c r="F4697" i="1"/>
  <c r="G4698" i="1"/>
  <c r="G4699" i="1"/>
  <c r="G4700" i="1"/>
  <c r="G4701" i="1"/>
  <c r="G4702" i="1"/>
  <c r="G4703" i="1"/>
  <c r="G4704" i="1"/>
  <c r="G4705" i="1"/>
  <c r="F4706" i="1"/>
  <c r="G4707" i="1"/>
  <c r="C4708" i="1"/>
  <c r="D4709" i="1"/>
  <c r="E4710" i="1"/>
  <c r="F4711" i="1"/>
  <c r="G4712" i="1"/>
  <c r="E4713" i="1"/>
  <c r="F4714" i="1"/>
  <c r="G4715" i="1"/>
  <c r="F4716" i="1"/>
  <c r="G4717" i="1"/>
  <c r="E4718" i="1"/>
  <c r="F4719" i="1"/>
  <c r="G4720" i="1"/>
  <c r="F4721" i="1"/>
  <c r="G4722" i="1"/>
  <c r="G4723" i="1"/>
  <c r="G4724" i="1"/>
  <c r="E4725" i="1"/>
  <c r="F4726" i="1"/>
  <c r="G4727" i="1"/>
  <c r="F4728" i="1"/>
  <c r="G4729" i="1"/>
  <c r="D4730" i="1"/>
  <c r="E4731" i="1"/>
  <c r="F4732" i="1"/>
  <c r="G4733" i="1"/>
  <c r="E4734" i="1"/>
  <c r="F4735" i="1"/>
  <c r="G4736" i="1"/>
  <c r="C4737" i="1"/>
  <c r="D4738" i="1"/>
  <c r="E4739" i="1"/>
  <c r="F4740" i="1"/>
  <c r="G4741" i="1"/>
  <c r="G4742" i="1"/>
  <c r="F4743" i="1"/>
  <c r="G4744" i="1"/>
  <c r="G4745" i="1"/>
  <c r="F4746" i="1"/>
  <c r="G4747" i="1"/>
  <c r="G4748" i="1"/>
  <c r="G4749" i="1"/>
  <c r="G4750" i="1"/>
  <c r="G4751" i="1"/>
  <c r="G4752" i="1"/>
  <c r="F4753" i="1"/>
  <c r="G4754" i="1"/>
  <c r="G4755" i="1"/>
  <c r="G4756" i="1"/>
  <c r="G4757" i="1"/>
  <c r="G4758" i="1"/>
  <c r="G4759" i="1"/>
  <c r="B4760" i="1"/>
  <c r="C4761" i="1"/>
  <c r="D4762" i="1"/>
  <c r="E4763" i="1"/>
  <c r="F4764" i="1"/>
  <c r="G4765" i="1"/>
  <c r="G4766" i="1"/>
  <c r="G4767" i="1"/>
  <c r="G4768" i="1"/>
  <c r="F4769" i="1"/>
  <c r="G4770" i="1"/>
  <c r="G4771" i="1"/>
  <c r="G4772" i="1"/>
  <c r="B4774" i="1"/>
  <c r="C4775" i="1"/>
  <c r="D4776" i="1"/>
  <c r="E4777" i="1"/>
  <c r="F4778" i="1"/>
  <c r="G4779" i="1"/>
  <c r="F4780" i="1"/>
  <c r="G4781" i="1"/>
  <c r="E4782" i="1"/>
  <c r="F4783" i="1"/>
  <c r="G4784" i="1"/>
  <c r="F4785" i="1"/>
  <c r="G4786" i="1"/>
  <c r="B4787" i="1"/>
  <c r="C4788" i="1"/>
  <c r="D4789" i="1"/>
  <c r="E4790" i="1"/>
  <c r="F4791" i="1"/>
  <c r="G4792" i="1"/>
  <c r="F4793" i="1"/>
  <c r="G4794" i="1"/>
  <c r="F4795" i="1"/>
  <c r="G4796" i="1"/>
  <c r="F4797" i="1"/>
  <c r="G4798" i="1"/>
  <c r="E4799" i="1"/>
  <c r="F4800" i="1"/>
  <c r="G4801" i="1"/>
  <c r="F4802" i="1"/>
  <c r="G4803" i="1"/>
  <c r="C4804" i="1"/>
  <c r="D4805" i="1"/>
  <c r="E4806" i="1"/>
  <c r="F4807" i="1"/>
  <c r="G4808" i="1"/>
  <c r="G4809" i="1"/>
  <c r="G4810" i="1"/>
  <c r="F4811" i="1"/>
  <c r="G4812" i="1"/>
  <c r="G4813" i="1"/>
  <c r="G4814" i="1"/>
  <c r="G4815" i="1"/>
  <c r="E4816" i="1"/>
  <c r="F4817" i="1"/>
  <c r="G4818" i="1"/>
  <c r="G4819" i="1"/>
  <c r="G4820" i="1"/>
  <c r="F4821" i="1"/>
  <c r="G4822" i="1"/>
  <c r="G4823" i="1"/>
  <c r="G4824" i="1"/>
  <c r="C4825" i="1"/>
  <c r="D4826" i="1"/>
  <c r="E4827" i="1"/>
  <c r="F4828" i="1"/>
  <c r="G4829" i="1"/>
  <c r="F4830" i="1"/>
  <c r="G4831" i="1"/>
  <c r="E4832" i="1"/>
  <c r="F4833" i="1"/>
  <c r="G4834" i="1"/>
  <c r="G4835" i="1"/>
  <c r="G4836" i="1"/>
  <c r="F4837" i="1"/>
  <c r="G4838" i="1"/>
  <c r="G4839" i="1"/>
  <c r="G4840" i="1"/>
  <c r="B4841" i="1"/>
  <c r="C4842" i="1"/>
  <c r="D4843" i="1"/>
  <c r="E4844" i="1"/>
  <c r="F4845" i="1"/>
  <c r="G4846" i="1"/>
  <c r="D4847" i="1"/>
  <c r="E4848" i="1"/>
  <c r="F4849" i="1"/>
  <c r="G4850" i="1"/>
  <c r="G4851" i="1"/>
  <c r="G4852" i="1"/>
  <c r="C4853" i="1"/>
  <c r="D4854" i="1"/>
  <c r="E4855" i="1"/>
  <c r="F4856" i="1"/>
  <c r="G4857" i="1"/>
  <c r="D4858" i="1"/>
  <c r="E4859" i="1"/>
  <c r="F4860" i="1"/>
  <c r="G4861" i="1"/>
  <c r="E4862" i="1"/>
  <c r="F4863" i="1"/>
  <c r="G4864" i="1"/>
  <c r="G4865" i="1"/>
  <c r="E4866" i="1"/>
  <c r="F4867" i="1"/>
  <c r="G4868" i="1"/>
  <c r="D4869" i="1"/>
  <c r="E4870" i="1"/>
  <c r="F4871" i="1"/>
  <c r="G4872" i="1"/>
  <c r="E4873" i="1"/>
  <c r="F4874" i="1"/>
  <c r="G4875" i="1"/>
  <c r="G4876" i="1"/>
  <c r="C4877" i="1"/>
  <c r="D4878" i="1"/>
  <c r="E4879" i="1"/>
  <c r="F4880" i="1"/>
  <c r="G4881" i="1"/>
  <c r="G4882" i="1"/>
  <c r="E4883" i="1"/>
  <c r="F4884" i="1"/>
  <c r="G4885" i="1"/>
  <c r="F4886" i="1"/>
  <c r="G4887" i="1"/>
  <c r="G4888" i="1"/>
  <c r="E4889" i="1"/>
  <c r="F4890" i="1"/>
  <c r="G4891" i="1"/>
  <c r="E4892" i="1"/>
  <c r="F4893" i="1"/>
  <c r="G4894" i="1"/>
  <c r="F4895" i="1"/>
  <c r="G4896" i="1"/>
  <c r="G4897" i="1"/>
  <c r="C4898" i="1"/>
  <c r="D4899" i="1"/>
  <c r="E4900" i="1"/>
  <c r="F4901" i="1"/>
  <c r="G4902" i="1"/>
  <c r="E4903" i="1"/>
  <c r="F4904" i="1"/>
  <c r="G4905" i="1"/>
  <c r="G4906" i="1"/>
  <c r="F4907" i="1"/>
  <c r="G4908" i="1"/>
  <c r="G4909" i="1"/>
  <c r="G4910" i="1"/>
  <c r="G4911" i="1"/>
  <c r="G4912" i="1"/>
  <c r="G4913" i="1"/>
  <c r="G4914" i="1"/>
  <c r="B4916" i="1"/>
  <c r="C4917" i="1"/>
  <c r="D4918" i="1"/>
  <c r="E4919" i="1"/>
  <c r="F4920" i="1"/>
  <c r="G4921" i="1"/>
  <c r="G4922" i="1"/>
  <c r="F4923" i="1"/>
  <c r="G4924" i="1"/>
  <c r="G4925" i="1"/>
  <c r="F4926" i="1"/>
  <c r="G4927" i="1"/>
  <c r="G4928" i="1"/>
  <c r="F4929" i="1"/>
  <c r="G4930" i="1"/>
  <c r="G4931" i="1"/>
  <c r="E4932" i="1"/>
  <c r="F4933" i="1"/>
  <c r="G4934" i="1"/>
  <c r="G4935" i="1"/>
  <c r="F4936" i="1"/>
  <c r="G4937" i="1"/>
  <c r="G4938" i="1"/>
  <c r="F4939" i="1"/>
  <c r="G4940" i="1"/>
  <c r="G4941" i="1"/>
  <c r="F4942" i="1"/>
  <c r="G4943" i="1"/>
  <c r="G4944" i="1"/>
  <c r="E4945" i="1"/>
  <c r="F4946" i="1"/>
  <c r="G4947" i="1"/>
  <c r="G4948" i="1"/>
  <c r="F4949" i="1"/>
  <c r="G4950" i="1"/>
  <c r="G4951" i="1"/>
  <c r="F4952" i="1"/>
  <c r="G4953" i="1"/>
  <c r="G4954" i="1"/>
  <c r="F4955" i="1"/>
  <c r="G4956" i="1"/>
  <c r="G4957" i="1"/>
  <c r="E4958" i="1"/>
  <c r="F4959" i="1"/>
  <c r="G4960" i="1"/>
  <c r="G4961" i="1"/>
  <c r="F4962" i="1"/>
  <c r="G4963" i="1"/>
  <c r="G4964" i="1"/>
  <c r="F4965" i="1"/>
  <c r="G4966" i="1"/>
  <c r="G4967" i="1"/>
  <c r="F4968" i="1"/>
  <c r="G4969" i="1"/>
  <c r="G4970" i="1"/>
  <c r="C4971" i="1"/>
  <c r="D4972" i="1"/>
  <c r="E4973" i="1"/>
  <c r="F4974" i="1"/>
  <c r="G4975" i="1"/>
  <c r="G4976" i="1"/>
  <c r="G4977" i="1"/>
  <c r="F4978" i="1"/>
  <c r="G4979" i="1"/>
  <c r="G4980" i="1"/>
  <c r="E4981" i="1"/>
  <c r="F4982" i="1"/>
  <c r="G4983" i="1"/>
  <c r="G4984" i="1"/>
  <c r="E4985" i="1"/>
  <c r="F4986" i="1"/>
  <c r="G4987" i="1"/>
  <c r="C4988" i="1"/>
  <c r="D4989" i="1"/>
  <c r="E4990" i="1"/>
  <c r="F4991" i="1"/>
  <c r="G4992" i="1"/>
  <c r="G4993" i="1"/>
  <c r="F4994" i="1"/>
  <c r="G4995" i="1"/>
  <c r="E4996" i="1"/>
  <c r="F4997" i="1"/>
  <c r="G4998" i="1"/>
  <c r="G4999" i="1"/>
  <c r="F5000" i="1"/>
  <c r="G5001" i="1"/>
  <c r="G5002" i="1"/>
  <c r="G5003" i="1"/>
  <c r="E5004" i="1"/>
  <c r="F5005" i="1"/>
  <c r="G5006" i="1"/>
  <c r="G5007" i="1"/>
  <c r="F5008" i="1"/>
  <c r="G5009" i="1"/>
  <c r="F5010" i="1"/>
  <c r="G5011" i="1"/>
  <c r="G5012" i="1"/>
  <c r="F5013" i="1"/>
  <c r="G5014" i="1"/>
  <c r="G5015" i="1"/>
  <c r="G5016" i="1"/>
  <c r="C5017" i="1"/>
  <c r="D5018" i="1"/>
  <c r="E5019" i="1"/>
  <c r="F5020" i="1"/>
  <c r="G5021" i="1"/>
  <c r="F5022" i="1"/>
  <c r="G5023" i="1"/>
  <c r="F5024" i="1"/>
  <c r="G5025" i="1"/>
  <c r="F5026" i="1"/>
  <c r="G5027" i="1"/>
  <c r="E5028" i="1"/>
  <c r="F5029" i="1"/>
  <c r="G5030" i="1"/>
  <c r="F5031" i="1"/>
  <c r="G5032" i="1"/>
  <c r="E5033" i="1"/>
  <c r="F5034" i="1"/>
  <c r="G5035" i="1"/>
  <c r="F5036" i="1"/>
  <c r="G5037" i="1"/>
  <c r="E5038" i="1"/>
  <c r="F5039" i="1"/>
  <c r="G5040" i="1"/>
  <c r="F5041" i="1"/>
  <c r="G5042" i="1"/>
  <c r="F5043" i="1"/>
  <c r="G5044" i="1"/>
  <c r="F5045" i="1"/>
  <c r="G5046" i="1"/>
  <c r="E5047" i="1"/>
  <c r="F5048" i="1"/>
  <c r="G5049" i="1"/>
  <c r="B5050" i="1"/>
  <c r="C5051" i="1"/>
  <c r="D5052" i="1"/>
  <c r="E5053" i="1"/>
  <c r="F5054" i="1"/>
  <c r="G5055" i="1"/>
  <c r="G5056" i="1"/>
  <c r="G5057" i="1"/>
  <c r="E5058" i="1"/>
  <c r="F5059" i="1"/>
  <c r="G5060" i="1"/>
  <c r="G5061" i="1"/>
  <c r="G5062" i="1"/>
  <c r="E5063" i="1"/>
  <c r="F5064" i="1"/>
  <c r="G5065" i="1"/>
  <c r="G5066" i="1"/>
  <c r="G5067" i="1"/>
  <c r="F5068" i="1"/>
  <c r="G5069" i="1"/>
  <c r="G5070" i="1"/>
  <c r="F5071" i="1"/>
  <c r="G5072" i="1"/>
  <c r="F5073" i="1"/>
  <c r="G5074" i="1"/>
  <c r="F5075" i="1"/>
  <c r="G5076" i="1"/>
  <c r="E5077" i="1"/>
  <c r="F5078" i="1"/>
  <c r="G5079" i="1"/>
  <c r="G5080" i="1"/>
  <c r="E5081" i="1"/>
  <c r="F5082" i="1"/>
  <c r="G5083" i="1"/>
  <c r="G5084" i="1"/>
  <c r="G5085" i="1"/>
  <c r="E5086" i="1"/>
  <c r="F5087" i="1"/>
  <c r="G5088" i="1"/>
  <c r="G5089" i="1"/>
  <c r="E5090" i="1"/>
  <c r="F5091" i="1"/>
  <c r="G5092" i="1"/>
  <c r="G5093" i="1"/>
  <c r="E5094" i="1"/>
  <c r="F5095" i="1"/>
  <c r="G5096" i="1"/>
  <c r="G5097" i="1"/>
  <c r="E5098" i="1"/>
  <c r="F5099" i="1"/>
  <c r="G5100" i="1"/>
  <c r="C5101" i="1"/>
  <c r="D5102" i="1"/>
  <c r="E5103" i="1"/>
  <c r="F5104" i="1"/>
  <c r="G5105" i="1"/>
  <c r="E5106" i="1"/>
  <c r="F5107" i="1"/>
  <c r="G5108" i="1"/>
  <c r="E5109" i="1"/>
  <c r="F5110" i="1"/>
  <c r="G5111" i="1"/>
  <c r="E5112" i="1"/>
  <c r="F5113" i="1"/>
  <c r="G5114" i="1"/>
  <c r="E5115" i="1"/>
  <c r="F5116" i="1"/>
  <c r="G5117" i="1"/>
  <c r="G5118" i="1"/>
  <c r="E5119" i="1"/>
  <c r="F5120" i="1"/>
  <c r="G5121" i="1"/>
  <c r="E5122" i="1"/>
  <c r="F5123" i="1"/>
  <c r="G5124" i="1"/>
  <c r="G5125" i="1"/>
  <c r="C5126" i="1"/>
  <c r="D5127" i="1"/>
  <c r="E5128" i="1"/>
  <c r="F5129" i="1"/>
  <c r="G5130" i="1"/>
  <c r="G5131" i="1"/>
  <c r="E5132" i="1"/>
  <c r="F5133" i="1"/>
  <c r="G5134" i="1"/>
  <c r="E5135" i="1"/>
  <c r="F5136" i="1"/>
  <c r="G5137" i="1"/>
  <c r="G5138" i="1"/>
  <c r="E5139" i="1"/>
  <c r="F5140" i="1"/>
  <c r="G5141" i="1"/>
  <c r="E5142" i="1"/>
  <c r="F5143" i="1"/>
  <c r="G5144" i="1"/>
  <c r="E5145" i="1"/>
  <c r="F5146" i="1"/>
  <c r="G5147" i="1"/>
  <c r="G5148" i="1"/>
  <c r="G5149" i="1"/>
  <c r="E5150" i="1"/>
  <c r="F5151" i="1"/>
  <c r="G5152" i="1"/>
  <c r="G5153" i="1"/>
  <c r="E5154" i="1"/>
  <c r="F5155" i="1"/>
  <c r="G5156" i="1"/>
  <c r="E5157" i="1"/>
  <c r="F5158" i="1"/>
  <c r="G5159" i="1"/>
  <c r="G5160" i="1"/>
  <c r="G5161" i="1"/>
  <c r="D5162" i="1"/>
  <c r="E5163" i="1"/>
  <c r="F5164" i="1"/>
  <c r="G5165" i="1"/>
  <c r="E5166" i="1"/>
  <c r="F5167" i="1"/>
  <c r="G5168" i="1"/>
  <c r="E5169" i="1"/>
  <c r="F5170" i="1"/>
  <c r="G5171" i="1"/>
  <c r="C5172" i="1"/>
  <c r="D5173" i="1"/>
  <c r="E5174" i="1"/>
  <c r="F5175" i="1"/>
  <c r="G5176" i="1"/>
  <c r="G5177" i="1"/>
  <c r="E5178" i="1"/>
  <c r="F5179" i="1"/>
  <c r="G5180" i="1"/>
  <c r="E5181" i="1"/>
  <c r="F5182" i="1"/>
  <c r="G5183" i="1"/>
  <c r="E5184" i="1"/>
  <c r="F5185" i="1"/>
  <c r="G5186" i="1"/>
  <c r="E5187" i="1"/>
  <c r="F5188" i="1"/>
  <c r="G5189" i="1"/>
  <c r="D5190" i="1"/>
  <c r="E5191" i="1"/>
  <c r="F5192" i="1"/>
  <c r="G5193" i="1"/>
  <c r="G5194" i="1"/>
  <c r="E5195" i="1"/>
  <c r="F5196" i="1"/>
  <c r="G5197" i="1"/>
  <c r="D5198" i="1"/>
  <c r="E5199" i="1"/>
  <c r="F5200" i="1"/>
  <c r="G5201" i="1"/>
  <c r="G5202" i="1"/>
  <c r="G5203" i="1"/>
  <c r="E5204" i="1"/>
  <c r="F5205" i="1"/>
  <c r="G5206" i="1"/>
  <c r="E5207" i="1"/>
  <c r="F5208" i="1"/>
  <c r="G5209" i="1"/>
  <c r="E5210" i="1"/>
  <c r="F5211" i="1"/>
  <c r="G5212" i="1"/>
  <c r="E5213" i="1"/>
  <c r="F5214" i="1"/>
  <c r="G5215" i="1"/>
  <c r="G5216" i="1"/>
  <c r="G5217" i="1"/>
  <c r="D5218" i="1"/>
  <c r="E5219" i="1"/>
  <c r="F5220" i="1"/>
  <c r="G5221" i="1"/>
  <c r="G5222" i="1"/>
  <c r="E5223" i="1"/>
  <c r="F5224" i="1"/>
  <c r="G5225" i="1"/>
  <c r="E5226" i="1"/>
  <c r="F5227" i="1"/>
  <c r="G5228" i="1"/>
  <c r="D5229" i="1"/>
  <c r="E5230" i="1"/>
  <c r="F5231" i="1"/>
  <c r="G5232" i="1"/>
  <c r="E5233" i="1"/>
  <c r="F5234" i="1"/>
  <c r="G5235" i="1"/>
  <c r="E5236" i="1"/>
  <c r="F5237" i="1"/>
  <c r="G5238" i="1"/>
  <c r="E5239" i="1"/>
  <c r="F5240" i="1"/>
  <c r="G5241" i="1"/>
  <c r="E5242" i="1"/>
  <c r="F5243" i="1"/>
  <c r="G5244" i="1"/>
  <c r="G5245" i="1"/>
  <c r="E5246" i="1"/>
  <c r="F5247" i="1"/>
  <c r="G5248" i="1"/>
  <c r="G5249" i="1"/>
  <c r="G5250" i="1"/>
  <c r="G5251" i="1"/>
  <c r="G5252" i="1"/>
  <c r="C5253" i="1"/>
  <c r="D5254" i="1"/>
  <c r="E5255" i="1"/>
  <c r="F5256" i="1"/>
  <c r="G5257" i="1"/>
  <c r="D5258" i="1"/>
  <c r="E5259" i="1"/>
  <c r="F5260" i="1"/>
  <c r="G5261" i="1"/>
  <c r="G5262" i="1"/>
  <c r="E5263" i="1"/>
  <c r="F5264" i="1"/>
  <c r="G5265" i="1"/>
  <c r="D5266" i="1"/>
  <c r="E5267" i="1"/>
  <c r="F5268" i="1"/>
  <c r="G5269" i="1"/>
  <c r="G5270" i="1"/>
  <c r="D5271" i="1"/>
  <c r="E5272" i="1"/>
  <c r="F5273" i="1"/>
  <c r="G5274" i="1"/>
  <c r="E5275" i="1"/>
  <c r="F5276" i="1"/>
  <c r="G5277" i="1"/>
  <c r="E5278" i="1"/>
  <c r="F5279" i="1"/>
  <c r="G5280" i="1"/>
  <c r="G5281" i="1"/>
  <c r="G5282" i="1"/>
  <c r="F5283" i="1"/>
  <c r="G5284" i="1"/>
  <c r="F5285" i="1"/>
  <c r="G5286" i="1"/>
  <c r="G5287" i="1"/>
  <c r="E5288" i="1"/>
  <c r="F5289" i="1"/>
  <c r="G5290" i="1"/>
  <c r="G5291" i="1"/>
  <c r="E5292" i="1"/>
  <c r="F5293" i="1"/>
  <c r="G5294" i="1"/>
  <c r="G5295" i="1"/>
  <c r="G5296" i="1"/>
  <c r="G5297" i="1"/>
  <c r="G5298" i="1"/>
  <c r="C5299" i="1"/>
  <c r="D5300" i="1"/>
  <c r="E5301" i="1"/>
  <c r="F5302" i="1"/>
  <c r="G5303" i="1"/>
  <c r="E5304" i="1"/>
  <c r="F5305" i="1"/>
  <c r="G5306" i="1"/>
  <c r="G5307" i="1"/>
  <c r="E5308" i="1"/>
  <c r="F5309" i="1"/>
  <c r="G5310" i="1"/>
  <c r="E5311" i="1"/>
  <c r="F5312" i="1"/>
  <c r="G5313" i="1"/>
  <c r="D5314" i="1"/>
  <c r="E5315" i="1"/>
  <c r="F5316" i="1"/>
  <c r="G5317" i="1"/>
  <c r="G5318" i="1"/>
  <c r="E5319" i="1"/>
  <c r="F5320" i="1"/>
  <c r="G5321" i="1"/>
  <c r="G5322" i="1"/>
  <c r="D5323" i="1"/>
  <c r="E5324" i="1"/>
  <c r="F5325" i="1"/>
  <c r="G5326" i="1"/>
  <c r="E5327" i="1"/>
  <c r="F5328" i="1"/>
  <c r="G5329" i="1"/>
  <c r="G5330" i="1"/>
  <c r="E5331" i="1"/>
  <c r="F5332" i="1"/>
  <c r="G5333" i="1"/>
  <c r="E5334" i="1"/>
  <c r="F5335" i="1"/>
  <c r="G5336" i="1"/>
  <c r="G5337" i="1"/>
  <c r="E5338" i="1"/>
  <c r="F5339" i="1"/>
  <c r="G5340" i="1"/>
  <c r="G5341" i="1"/>
  <c r="F5342" i="1"/>
  <c r="G5343" i="1"/>
  <c r="G5344" i="1"/>
  <c r="G5345" i="1"/>
  <c r="G5346" i="1"/>
  <c r="G5347" i="1"/>
  <c r="D5348" i="1"/>
  <c r="E5349" i="1"/>
  <c r="F5350" i="1"/>
  <c r="G5351" i="1"/>
  <c r="E5352" i="1"/>
  <c r="F5353" i="1"/>
  <c r="G5354" i="1"/>
  <c r="E5355" i="1"/>
  <c r="F5356" i="1"/>
  <c r="G5357" i="1"/>
  <c r="E5358" i="1"/>
  <c r="F5359" i="1"/>
  <c r="G5360" i="1"/>
  <c r="E5361" i="1"/>
  <c r="F5362" i="1"/>
  <c r="G5363" i="1"/>
  <c r="E5364" i="1"/>
  <c r="F5365" i="1"/>
  <c r="G5366" i="1"/>
  <c r="G5367" i="1"/>
  <c r="G5368" i="1"/>
  <c r="C5369" i="1"/>
  <c r="D5370" i="1"/>
  <c r="E5371" i="1"/>
  <c r="F5372" i="1"/>
  <c r="G5373" i="1"/>
  <c r="B5374" i="1"/>
  <c r="C5375" i="1"/>
  <c r="D5376" i="1"/>
  <c r="E5377" i="1"/>
  <c r="F5378" i="1"/>
  <c r="G5379" i="1"/>
  <c r="E5380" i="1"/>
  <c r="F5381" i="1"/>
  <c r="G5382" i="1"/>
  <c r="E5383" i="1"/>
  <c r="F5384" i="1"/>
  <c r="G5385" i="1"/>
  <c r="E5386" i="1"/>
  <c r="F5387" i="1"/>
  <c r="G5388" i="1"/>
  <c r="D5389" i="1"/>
  <c r="E5390" i="1"/>
  <c r="F5391" i="1"/>
  <c r="G5392" i="1"/>
  <c r="C5393" i="1"/>
  <c r="D5394" i="1"/>
  <c r="E5395" i="1"/>
  <c r="F5396" i="1"/>
  <c r="G5397" i="1"/>
  <c r="G5398" i="1"/>
  <c r="E5399" i="1"/>
  <c r="F5400" i="1"/>
  <c r="G5401" i="1"/>
  <c r="E5402" i="1"/>
  <c r="F5403" i="1"/>
  <c r="G5404" i="1"/>
  <c r="G5405" i="1"/>
  <c r="E5406" i="1"/>
  <c r="F5407" i="1"/>
  <c r="G5408" i="1"/>
  <c r="E5409" i="1"/>
  <c r="F5410" i="1"/>
  <c r="G5411" i="1"/>
  <c r="E5412" i="1"/>
  <c r="F5413" i="1"/>
  <c r="G5414" i="1"/>
  <c r="G5415" i="1"/>
  <c r="G5416" i="1"/>
  <c r="G5417" i="1"/>
  <c r="G5418" i="1"/>
  <c r="G5419" i="1"/>
  <c r="D5420" i="1"/>
  <c r="E5421" i="1"/>
  <c r="F5422" i="1"/>
  <c r="G5423" i="1"/>
  <c r="E5424" i="1"/>
  <c r="F5425" i="1"/>
  <c r="G5426" i="1"/>
  <c r="D5427" i="1"/>
  <c r="E5428" i="1"/>
  <c r="F5429" i="1"/>
  <c r="G5430" i="1"/>
  <c r="C5431" i="1"/>
  <c r="D5432" i="1"/>
  <c r="E5433" i="1"/>
  <c r="F5434" i="1"/>
  <c r="G5435" i="1"/>
  <c r="C5436" i="1"/>
  <c r="D5437" i="1"/>
  <c r="E5438" i="1"/>
  <c r="F5439" i="1"/>
  <c r="G5440" i="1"/>
  <c r="E5441" i="1"/>
  <c r="F5442" i="1"/>
  <c r="G5443" i="1"/>
  <c r="E5444" i="1"/>
  <c r="F5445" i="1"/>
  <c r="G5446" i="1"/>
  <c r="D5447" i="1"/>
  <c r="E5448" i="1"/>
  <c r="F5449" i="1"/>
  <c r="G5450" i="1"/>
  <c r="C5451" i="1"/>
  <c r="D5452" i="1"/>
  <c r="E5453" i="1"/>
  <c r="F5454" i="1"/>
  <c r="G5455" i="1"/>
  <c r="E5456" i="1"/>
  <c r="F5457" i="1"/>
  <c r="G5458" i="1"/>
  <c r="E5459" i="1"/>
  <c r="F5460" i="1"/>
  <c r="G5461" i="1"/>
  <c r="D5462" i="1"/>
  <c r="E5463" i="1"/>
  <c r="F5464" i="1"/>
  <c r="G5465" i="1"/>
  <c r="G5466" i="1"/>
  <c r="E5467" i="1"/>
  <c r="F5468" i="1"/>
  <c r="G5469" i="1"/>
  <c r="E5470" i="1"/>
  <c r="F5471" i="1"/>
  <c r="G5472" i="1"/>
  <c r="G5473" i="1"/>
  <c r="E5474" i="1"/>
  <c r="F5475" i="1"/>
  <c r="G5476" i="1"/>
  <c r="G5477" i="1"/>
  <c r="G5478" i="1"/>
  <c r="E5479" i="1"/>
  <c r="F5480" i="1"/>
  <c r="G5481" i="1"/>
  <c r="D5482" i="1"/>
  <c r="E5483" i="1"/>
  <c r="F5484" i="1"/>
  <c r="G5485" i="1"/>
  <c r="G5486" i="1"/>
  <c r="D5487" i="1"/>
  <c r="E5488" i="1"/>
  <c r="F5489" i="1"/>
  <c r="G5490" i="1"/>
  <c r="E5491" i="1"/>
  <c r="F5492" i="1"/>
  <c r="G5493" i="1"/>
  <c r="E5494" i="1"/>
  <c r="F5495" i="1"/>
  <c r="G5496" i="1"/>
  <c r="E5497" i="1"/>
  <c r="F5498" i="1"/>
  <c r="G5499" i="1"/>
  <c r="E5500" i="1"/>
  <c r="F5501" i="1"/>
  <c r="G5502" i="1"/>
  <c r="E5503" i="1"/>
  <c r="F5504" i="1"/>
  <c r="G5505" i="1"/>
  <c r="G5506" i="1"/>
  <c r="C5507" i="1"/>
  <c r="D5508" i="1"/>
  <c r="E5509" i="1"/>
  <c r="F5510" i="1"/>
  <c r="G5511" i="1"/>
  <c r="G5512" i="1"/>
  <c r="E5513" i="1"/>
  <c r="F5514" i="1"/>
  <c r="G5515" i="1"/>
  <c r="D5516" i="1"/>
  <c r="E5517" i="1"/>
  <c r="F5518" i="1"/>
  <c r="G5519" i="1"/>
  <c r="D5520" i="1"/>
  <c r="E5521" i="1"/>
  <c r="F5522" i="1"/>
  <c r="G5523" i="1"/>
  <c r="G5524" i="1"/>
  <c r="G5525" i="1"/>
  <c r="G5526" i="1"/>
  <c r="D5527" i="1"/>
  <c r="E5528" i="1"/>
  <c r="F5529" i="1"/>
  <c r="G5530" i="1"/>
  <c r="D5531" i="1"/>
  <c r="E5532" i="1"/>
  <c r="F5533" i="1"/>
  <c r="G5534" i="1"/>
  <c r="E5535" i="1"/>
  <c r="F5536" i="1"/>
  <c r="G5537" i="1"/>
  <c r="G5538" i="1"/>
  <c r="C5539" i="1"/>
  <c r="D5540" i="1"/>
  <c r="E5541" i="1"/>
  <c r="F5542" i="1"/>
  <c r="G5543" i="1"/>
  <c r="E5544" i="1"/>
  <c r="F5545" i="1"/>
  <c r="G5546" i="1"/>
  <c r="E5547" i="1"/>
  <c r="F5548" i="1"/>
  <c r="G5549" i="1"/>
  <c r="D5550" i="1"/>
  <c r="E5551" i="1"/>
  <c r="F5552" i="1"/>
  <c r="G5553" i="1"/>
  <c r="G5554" i="1"/>
  <c r="E5555" i="1"/>
  <c r="F5556" i="1"/>
  <c r="G5557" i="1"/>
  <c r="E5558" i="1"/>
  <c r="F5559" i="1"/>
  <c r="G5560" i="1"/>
  <c r="D5561" i="1"/>
  <c r="E5562" i="1"/>
  <c r="F5563" i="1"/>
  <c r="G5564" i="1"/>
  <c r="G5565" i="1"/>
  <c r="E5566" i="1"/>
  <c r="F5567" i="1"/>
  <c r="G5568" i="1"/>
  <c r="E5569" i="1"/>
  <c r="F5570" i="1"/>
  <c r="G5571" i="1"/>
  <c r="G5572" i="1"/>
  <c r="E5573" i="1"/>
  <c r="F5574" i="1"/>
  <c r="G5575" i="1"/>
  <c r="E5576" i="1"/>
  <c r="F5577" i="1"/>
  <c r="G5578" i="1"/>
  <c r="E5579" i="1"/>
  <c r="F5580" i="1"/>
  <c r="G5581" i="1"/>
  <c r="G5582" i="1"/>
  <c r="D5583" i="1"/>
  <c r="E5584" i="1"/>
  <c r="F5585" i="1"/>
  <c r="G5586" i="1"/>
  <c r="E5587" i="1"/>
  <c r="F5588" i="1"/>
  <c r="G5589" i="1"/>
  <c r="E5590" i="1"/>
  <c r="F5591" i="1"/>
  <c r="G5592" i="1"/>
  <c r="E5593" i="1"/>
  <c r="F5594" i="1"/>
  <c r="G5595" i="1"/>
  <c r="E5596" i="1"/>
  <c r="F5597" i="1"/>
  <c r="G5598" i="1"/>
  <c r="E5599" i="1"/>
  <c r="F5600" i="1"/>
  <c r="G5601" i="1"/>
  <c r="C5602" i="1"/>
  <c r="D5603" i="1"/>
  <c r="E5604" i="1"/>
  <c r="F5605" i="1"/>
  <c r="G5606" i="1"/>
  <c r="G5607" i="1"/>
  <c r="G5608" i="1"/>
  <c r="G5609" i="1"/>
  <c r="G5610" i="1"/>
  <c r="E5611" i="1"/>
  <c r="F5612" i="1"/>
  <c r="G5613" i="1"/>
  <c r="G5614" i="1"/>
  <c r="E5615" i="1"/>
  <c r="F5616" i="1"/>
  <c r="G5617" i="1"/>
  <c r="D5618" i="1"/>
  <c r="E5619" i="1"/>
  <c r="F5620" i="1"/>
  <c r="G5621" i="1"/>
  <c r="E5622" i="1"/>
  <c r="F5623" i="1"/>
  <c r="G5624" i="1"/>
  <c r="G5625" i="1"/>
  <c r="G5626" i="1"/>
  <c r="D5627" i="1"/>
  <c r="E5628" i="1"/>
  <c r="F5629" i="1"/>
  <c r="G5630" i="1"/>
  <c r="G5631" i="1"/>
  <c r="E5632" i="1"/>
  <c r="F5633" i="1"/>
  <c r="G5634" i="1"/>
  <c r="G5635" i="1"/>
  <c r="G5636" i="1"/>
  <c r="E5637" i="1"/>
  <c r="F5638" i="1"/>
  <c r="G5639" i="1"/>
  <c r="G5640" i="1"/>
  <c r="E5641" i="1"/>
  <c r="F5642" i="1"/>
  <c r="G5643" i="1"/>
  <c r="E5644" i="1"/>
  <c r="F5645" i="1"/>
  <c r="G5646" i="1"/>
  <c r="G5647" i="1"/>
  <c r="G5648" i="1"/>
  <c r="E5649" i="1"/>
  <c r="F5650" i="1"/>
  <c r="G5651" i="1"/>
  <c r="G5652" i="1"/>
  <c r="E5653" i="1"/>
  <c r="F5654" i="1"/>
  <c r="G5655" i="1"/>
  <c r="G5656" i="1"/>
  <c r="G5657" i="1"/>
  <c r="E5658" i="1"/>
  <c r="F5659" i="1"/>
  <c r="G5660" i="1"/>
  <c r="G5661" i="1"/>
  <c r="G5662" i="1"/>
  <c r="G5663" i="1"/>
  <c r="G5664" i="1"/>
  <c r="G5665" i="1"/>
  <c r="G5666" i="1"/>
  <c r="G5667" i="1"/>
  <c r="F5668" i="1"/>
  <c r="G5669" i="1"/>
  <c r="G5670" i="1"/>
  <c r="F5671" i="1"/>
  <c r="G5672" i="1"/>
  <c r="G5673" i="1"/>
  <c r="G5674" i="1"/>
  <c r="G5675" i="1"/>
  <c r="F5676" i="1"/>
  <c r="G5677" i="1"/>
  <c r="G5678" i="1"/>
  <c r="G5679" i="1"/>
  <c r="G5680" i="1"/>
  <c r="G5681" i="1"/>
  <c r="G5682" i="1"/>
  <c r="G5683" i="1"/>
  <c r="G5684" i="1"/>
  <c r="F5685" i="1"/>
  <c r="G5686" i="1"/>
  <c r="G5687" i="1"/>
  <c r="G5688" i="1"/>
  <c r="F5689" i="1"/>
  <c r="G5690" i="1"/>
  <c r="G5691" i="1"/>
  <c r="G5692" i="1"/>
  <c r="C5693" i="1"/>
  <c r="D5694" i="1"/>
  <c r="E5695" i="1"/>
  <c r="F5696" i="1"/>
  <c r="G5697" i="1"/>
  <c r="G5698" i="1"/>
  <c r="G5699" i="1"/>
  <c r="F5700" i="1"/>
  <c r="G5701" i="1"/>
  <c r="G5702" i="1"/>
  <c r="F5703" i="1"/>
  <c r="G5704" i="1"/>
  <c r="G5705" i="1"/>
  <c r="G5706" i="1"/>
  <c r="F5707" i="1"/>
  <c r="G5708" i="1"/>
  <c r="G5709" i="1"/>
  <c r="G5710" i="1"/>
  <c r="G5711" i="1"/>
  <c r="G5712" i="1"/>
  <c r="F5713" i="1"/>
  <c r="G5714" i="1"/>
  <c r="G5715" i="1"/>
  <c r="G5716" i="1"/>
  <c r="G5717" i="1"/>
  <c r="G5718" i="1"/>
  <c r="G5719" i="1"/>
  <c r="G5720" i="1"/>
  <c r="F5721" i="1"/>
  <c r="G5722" i="1"/>
  <c r="G5723" i="1"/>
  <c r="G5724" i="1"/>
  <c r="G5725" i="1"/>
  <c r="G5726" i="1"/>
  <c r="G5727" i="1"/>
  <c r="F5728" i="1"/>
  <c r="G5729" i="1"/>
  <c r="G5730" i="1"/>
  <c r="G5731" i="1"/>
  <c r="F5732" i="1"/>
  <c r="G5733" i="1"/>
  <c r="G5734" i="1"/>
  <c r="G5735" i="1"/>
  <c r="G5736" i="1"/>
  <c r="F5737" i="1"/>
  <c r="G5738" i="1"/>
  <c r="G5739" i="1"/>
  <c r="G5740" i="1"/>
  <c r="E5741" i="1"/>
  <c r="F5742" i="1"/>
  <c r="G5743" i="1"/>
  <c r="G5744" i="1"/>
  <c r="G5745" i="1"/>
  <c r="F5746" i="1"/>
  <c r="G5747" i="1"/>
  <c r="G5748" i="1"/>
  <c r="F5749" i="1"/>
  <c r="G5750" i="1"/>
  <c r="G5751" i="1"/>
  <c r="G5752" i="1"/>
  <c r="F5753" i="1"/>
  <c r="G5754" i="1"/>
  <c r="G5755" i="1"/>
  <c r="G5756" i="1"/>
  <c r="G5757" i="1"/>
  <c r="G5758" i="1"/>
  <c r="F5759" i="1"/>
  <c r="G5760" i="1"/>
  <c r="G5761" i="1"/>
  <c r="G5762" i="1"/>
  <c r="G5763" i="1"/>
  <c r="G5764" i="1"/>
  <c r="G5765" i="1"/>
  <c r="G5766" i="1"/>
  <c r="F5767" i="1"/>
  <c r="G5768" i="1"/>
  <c r="G5769" i="1"/>
  <c r="G5770" i="1"/>
  <c r="G5771" i="1"/>
  <c r="G5772" i="1"/>
  <c r="G5773" i="1"/>
  <c r="F5774" i="1"/>
  <c r="G5775" i="1"/>
  <c r="G5776" i="1"/>
  <c r="G5777" i="1"/>
  <c r="F5778" i="1"/>
  <c r="G5779" i="1"/>
  <c r="G5780" i="1"/>
  <c r="G5781" i="1"/>
  <c r="G5782" i="1"/>
  <c r="F5783" i="1"/>
  <c r="G5784" i="1"/>
  <c r="G5785" i="1"/>
  <c r="G5786" i="1"/>
  <c r="D5787" i="1"/>
  <c r="E5788" i="1"/>
  <c r="F5789" i="1"/>
  <c r="G5790" i="1"/>
  <c r="G5791" i="1"/>
  <c r="G5792" i="1"/>
  <c r="F5793" i="1"/>
  <c r="G5794" i="1"/>
  <c r="G5795" i="1"/>
  <c r="F5796" i="1"/>
  <c r="G5797" i="1"/>
  <c r="G5798" i="1"/>
  <c r="G5799" i="1"/>
  <c r="F5800" i="1"/>
  <c r="G5801" i="1"/>
  <c r="G5802" i="1"/>
  <c r="G5803" i="1"/>
  <c r="G5804" i="1"/>
  <c r="G5805" i="1"/>
  <c r="F5806" i="1"/>
  <c r="G5807" i="1"/>
  <c r="G5808" i="1"/>
  <c r="G5809" i="1"/>
  <c r="G5810" i="1"/>
  <c r="G5811" i="1"/>
  <c r="G5812" i="1"/>
  <c r="G5813" i="1"/>
  <c r="F5814" i="1"/>
  <c r="G5815" i="1"/>
  <c r="G5816" i="1"/>
  <c r="G5817" i="1"/>
  <c r="G5818" i="1"/>
  <c r="G5819" i="1"/>
  <c r="G5820" i="1"/>
  <c r="F5821" i="1"/>
  <c r="G5822" i="1"/>
  <c r="G5823" i="1"/>
  <c r="G5824" i="1"/>
  <c r="F5825" i="1"/>
  <c r="G5826" i="1"/>
  <c r="G5827" i="1"/>
  <c r="G5828" i="1"/>
  <c r="G5829" i="1"/>
  <c r="F5830" i="1"/>
  <c r="G5831" i="1"/>
  <c r="G5832" i="1"/>
  <c r="G5833" i="1"/>
  <c r="E5834" i="1"/>
  <c r="F5835" i="1"/>
  <c r="G5836" i="1"/>
  <c r="G5837" i="1"/>
  <c r="G5838" i="1"/>
  <c r="F5839" i="1"/>
  <c r="G5840" i="1"/>
  <c r="G5841" i="1"/>
  <c r="F5842" i="1"/>
  <c r="G5843" i="1"/>
  <c r="G5844" i="1"/>
  <c r="G5845" i="1"/>
  <c r="F5846" i="1"/>
  <c r="G5847" i="1"/>
  <c r="G5848" i="1"/>
  <c r="G5849" i="1"/>
  <c r="G5850" i="1"/>
  <c r="G5851" i="1"/>
  <c r="F5852" i="1"/>
  <c r="G5853" i="1"/>
  <c r="G5854" i="1"/>
  <c r="G5855" i="1"/>
  <c r="G5856" i="1"/>
  <c r="G5857" i="1"/>
  <c r="G5858" i="1"/>
  <c r="G5859" i="1"/>
  <c r="F5860" i="1"/>
  <c r="G5861" i="1"/>
  <c r="G5862" i="1"/>
  <c r="G5863" i="1"/>
  <c r="G5864" i="1"/>
  <c r="G5865" i="1"/>
  <c r="G5866" i="1"/>
  <c r="F5867" i="1"/>
  <c r="G5868" i="1"/>
  <c r="G5869" i="1"/>
  <c r="G5870" i="1"/>
  <c r="F5871" i="1"/>
  <c r="G5872" i="1"/>
  <c r="G5873" i="1"/>
  <c r="G5874" i="1"/>
  <c r="G5875" i="1"/>
  <c r="F5876" i="1"/>
  <c r="G5877" i="1"/>
  <c r="G5878" i="1"/>
  <c r="G5879" i="1"/>
  <c r="B5881" i="1"/>
  <c r="C5882" i="1"/>
  <c r="D5883" i="1"/>
  <c r="E5884" i="1"/>
  <c r="F5885" i="1"/>
  <c r="G5886" i="1"/>
  <c r="G5887" i="1"/>
  <c r="D5888" i="1"/>
  <c r="E5889" i="1"/>
  <c r="F5890" i="1"/>
  <c r="G5891" i="1"/>
  <c r="G5892" i="1"/>
  <c r="G5893" i="1"/>
  <c r="G5894" i="1"/>
  <c r="G5895" i="1"/>
  <c r="G5896" i="1"/>
  <c r="G5897" i="1"/>
  <c r="G5898" i="1"/>
  <c r="C5899" i="1"/>
  <c r="D5900" i="1"/>
  <c r="E5901" i="1"/>
  <c r="F5902" i="1"/>
  <c r="G5903" i="1"/>
  <c r="E5904" i="1"/>
  <c r="F5905" i="1"/>
  <c r="G5906" i="1"/>
  <c r="E5907" i="1"/>
  <c r="F5908" i="1"/>
  <c r="G5909" i="1"/>
  <c r="E5910" i="1"/>
  <c r="F5911" i="1"/>
  <c r="G5912" i="1"/>
  <c r="E5913" i="1"/>
  <c r="F5914" i="1"/>
  <c r="G5915" i="1"/>
  <c r="G5916" i="1"/>
  <c r="C5917" i="1"/>
  <c r="D5918" i="1"/>
  <c r="E5919" i="1"/>
  <c r="F5920" i="1"/>
  <c r="G5921" i="1"/>
  <c r="F5922" i="1"/>
  <c r="G5923" i="1"/>
  <c r="D5924" i="1"/>
  <c r="E5925" i="1"/>
  <c r="F5926" i="1"/>
  <c r="G5927" i="1"/>
  <c r="G5928" i="1"/>
  <c r="E5929" i="1"/>
  <c r="F5930" i="1"/>
  <c r="G5931" i="1"/>
  <c r="G5932" i="1"/>
  <c r="E5933" i="1"/>
  <c r="F5934" i="1"/>
  <c r="G5935" i="1"/>
  <c r="F5936" i="1"/>
  <c r="G5937" i="1"/>
  <c r="F5938" i="1"/>
  <c r="G5939" i="1"/>
  <c r="G5940" i="1"/>
  <c r="G5941" i="1"/>
  <c r="G5942" i="1"/>
  <c r="G5943" i="1"/>
  <c r="D5944" i="1"/>
  <c r="E5945" i="1"/>
  <c r="F5946" i="1"/>
  <c r="G5947" i="1"/>
  <c r="G5948" i="1"/>
  <c r="E5949" i="1"/>
  <c r="F5950" i="1"/>
  <c r="G5951" i="1"/>
  <c r="G5952" i="1"/>
  <c r="E5953" i="1"/>
  <c r="F5954" i="1"/>
  <c r="G5955" i="1"/>
  <c r="G5956" i="1"/>
  <c r="E5957" i="1"/>
  <c r="F5958" i="1"/>
  <c r="G5959" i="1"/>
  <c r="G5960" i="1"/>
  <c r="E5961" i="1"/>
  <c r="F5962" i="1"/>
  <c r="G5963" i="1"/>
  <c r="G5964" i="1"/>
  <c r="G5965" i="1"/>
  <c r="G5966" i="1"/>
  <c r="G5967" i="1"/>
  <c r="F5968" i="1"/>
  <c r="G5969" i="1"/>
  <c r="F5970" i="1"/>
  <c r="G5971" i="1"/>
  <c r="G5972" i="1"/>
  <c r="C5973" i="1"/>
  <c r="D5974" i="1"/>
  <c r="E5975" i="1"/>
  <c r="F5976" i="1"/>
  <c r="G5977" i="1"/>
  <c r="G5978" i="1"/>
  <c r="G5979" i="1"/>
  <c r="B5980" i="1"/>
  <c r="C5981" i="1"/>
  <c r="D5982" i="1"/>
  <c r="E5983" i="1"/>
  <c r="F5984" i="1"/>
  <c r="G5985" i="1"/>
  <c r="E5986" i="1"/>
  <c r="F5987" i="1"/>
  <c r="G5988" i="1"/>
  <c r="G5989" i="1"/>
  <c r="E5990" i="1"/>
  <c r="F5991" i="1"/>
  <c r="G5992" i="1"/>
  <c r="D5993" i="1"/>
  <c r="E5994" i="1"/>
  <c r="F5995" i="1"/>
  <c r="G5996" i="1"/>
  <c r="G5997" i="1"/>
  <c r="F5998" i="1"/>
  <c r="G5999" i="1"/>
  <c r="G6000" i="1"/>
  <c r="F6001" i="1"/>
  <c r="G6002" i="1"/>
  <c r="G6003" i="1"/>
  <c r="F6004" i="1"/>
  <c r="G6005" i="1"/>
  <c r="G6006" i="1"/>
  <c r="F6007" i="1"/>
  <c r="G6008" i="1"/>
  <c r="G6009" i="1"/>
  <c r="F6010" i="1"/>
  <c r="G6011" i="1"/>
  <c r="G6012" i="1"/>
  <c r="E6013" i="1"/>
  <c r="F6014" i="1"/>
  <c r="G6015" i="1"/>
  <c r="C6016" i="1"/>
  <c r="D6017" i="1"/>
  <c r="E6018" i="1"/>
  <c r="F6019" i="1"/>
  <c r="G6020" i="1"/>
  <c r="G6021" i="1"/>
  <c r="E6022" i="1"/>
  <c r="F6023" i="1"/>
  <c r="G6024" i="1"/>
  <c r="G6025" i="1"/>
  <c r="G6026" i="1"/>
  <c r="E6027" i="1"/>
  <c r="F6028" i="1"/>
  <c r="G6029" i="1"/>
  <c r="G6030" i="1"/>
  <c r="D6031" i="1"/>
  <c r="E6032" i="1"/>
  <c r="F6033" i="1"/>
  <c r="G6034" i="1"/>
  <c r="G6035" i="1"/>
  <c r="F6036" i="1"/>
  <c r="G6037" i="1"/>
  <c r="G6038" i="1"/>
  <c r="F6039" i="1"/>
  <c r="G6040" i="1"/>
  <c r="G6041" i="1"/>
  <c r="F6042" i="1"/>
  <c r="G6043" i="1"/>
  <c r="G6044" i="1"/>
  <c r="F6045" i="1"/>
  <c r="G6046" i="1"/>
  <c r="G6047" i="1"/>
  <c r="E6048" i="1"/>
  <c r="F6049" i="1"/>
  <c r="G6050" i="1"/>
  <c r="B6051" i="1"/>
  <c r="C6052" i="1"/>
  <c r="D6053" i="1"/>
  <c r="E6054" i="1"/>
  <c r="F6055" i="1"/>
  <c r="G6056" i="1"/>
  <c r="G6057" i="1"/>
  <c r="E6058" i="1"/>
  <c r="F6059" i="1"/>
  <c r="G6060" i="1"/>
  <c r="G6061" i="1"/>
  <c r="G6062" i="1"/>
  <c r="F6063" i="1"/>
  <c r="G6064" i="1"/>
  <c r="F6065" i="1"/>
  <c r="G6066" i="1"/>
  <c r="C6067" i="1"/>
  <c r="D6068" i="1"/>
  <c r="E6069" i="1"/>
  <c r="F6070" i="1"/>
  <c r="G6071" i="1"/>
  <c r="G6072" i="1"/>
  <c r="G6073" i="1"/>
  <c r="E6074" i="1"/>
  <c r="F6075" i="1"/>
  <c r="G6076" i="1"/>
  <c r="G6077" i="1"/>
  <c r="F6078" i="1"/>
  <c r="G6079" i="1"/>
  <c r="F6080" i="1"/>
  <c r="G6081" i="1"/>
  <c r="B6082" i="1"/>
  <c r="C6083" i="1"/>
  <c r="D6084" i="1"/>
  <c r="E6085" i="1"/>
  <c r="F6086" i="1"/>
  <c r="G6087" i="1"/>
  <c r="E6088" i="1"/>
  <c r="F6089" i="1"/>
  <c r="G6090" i="1"/>
  <c r="E6091" i="1"/>
  <c r="F6092" i="1"/>
  <c r="G6093" i="1"/>
  <c r="G6094" i="1"/>
  <c r="C6095" i="1"/>
  <c r="D6096" i="1"/>
  <c r="E6097" i="1"/>
  <c r="F6098" i="1"/>
  <c r="G6099" i="1"/>
  <c r="G6100" i="1"/>
  <c r="E6101" i="1"/>
  <c r="F6102" i="1"/>
  <c r="G6103" i="1"/>
  <c r="E6104" i="1"/>
  <c r="F6105" i="1"/>
  <c r="G6106" i="1"/>
  <c r="E6107" i="1"/>
  <c r="F6108" i="1"/>
  <c r="G6109" i="1"/>
  <c r="E6110" i="1"/>
  <c r="F6111" i="1"/>
  <c r="G6112" i="1"/>
  <c r="G6113" i="1"/>
  <c r="G6114" i="1"/>
  <c r="G6115" i="1"/>
  <c r="D6116" i="1"/>
  <c r="E6117" i="1"/>
  <c r="F6118" i="1"/>
  <c r="G6119" i="1"/>
  <c r="G6120" i="1"/>
  <c r="E6121" i="1"/>
  <c r="F6122" i="1"/>
  <c r="G6123" i="1"/>
  <c r="G6124" i="1"/>
  <c r="G6125" i="1"/>
  <c r="G6126" i="1"/>
  <c r="G6127" i="1"/>
  <c r="D6128" i="1"/>
  <c r="E6129" i="1"/>
  <c r="F6130" i="1"/>
  <c r="G6131" i="1"/>
  <c r="E6132" i="1"/>
  <c r="F6133" i="1"/>
  <c r="G6134" i="1"/>
  <c r="G6135" i="1"/>
  <c r="F6136" i="1"/>
  <c r="G6137" i="1"/>
  <c r="D6138" i="1"/>
  <c r="E6139" i="1"/>
  <c r="F6140" i="1"/>
  <c r="G6141" i="1"/>
  <c r="G6142" i="1"/>
  <c r="G6143" i="1"/>
  <c r="G6144" i="1"/>
  <c r="E6145" i="1"/>
  <c r="F6146" i="1"/>
  <c r="G6147" i="1"/>
  <c r="D6148" i="1"/>
  <c r="E6149" i="1"/>
  <c r="F6150" i="1"/>
  <c r="G6151" i="1"/>
  <c r="E6152" i="1"/>
  <c r="F6153" i="1"/>
  <c r="G6154" i="1"/>
  <c r="G6155" i="1"/>
  <c r="G6156" i="1"/>
  <c r="E6157" i="1"/>
  <c r="F6158" i="1"/>
  <c r="G6159" i="1"/>
  <c r="E6160" i="1"/>
  <c r="F6161" i="1"/>
  <c r="G6162" i="1"/>
  <c r="B6163" i="1"/>
  <c r="C6164" i="1"/>
  <c r="D6165" i="1"/>
  <c r="E6166" i="1"/>
  <c r="F6167" i="1"/>
  <c r="G6168" i="1"/>
  <c r="G6169" i="1"/>
  <c r="G6170" i="1"/>
  <c r="G6171" i="1"/>
  <c r="G6172" i="1"/>
  <c r="C6173" i="1"/>
  <c r="D6174" i="1"/>
  <c r="E6175" i="1"/>
  <c r="F6176" i="1"/>
  <c r="F6177" i="1"/>
  <c r="F6178" i="1"/>
  <c r="B6180" i="1"/>
  <c r="C6181" i="1"/>
  <c r="D6182" i="1"/>
  <c r="E6183" i="1"/>
  <c r="F6184" i="1"/>
  <c r="G6185" i="1"/>
  <c r="E6186" i="1"/>
  <c r="F6187" i="1"/>
  <c r="G6188" i="1"/>
  <c r="E6189" i="1"/>
  <c r="F6190" i="1"/>
  <c r="G6191" i="1"/>
  <c r="E6192" i="1"/>
  <c r="F6193" i="1"/>
  <c r="G6194" i="1"/>
  <c r="G6195" i="1"/>
  <c r="G6196" i="1"/>
  <c r="C6197" i="1"/>
  <c r="D6198" i="1"/>
  <c r="E6199" i="1"/>
  <c r="F6200" i="1"/>
  <c r="G6201" i="1"/>
  <c r="G6202" i="1"/>
  <c r="C6203" i="1"/>
  <c r="D6204" i="1"/>
  <c r="E6205" i="1"/>
  <c r="F6206" i="1"/>
  <c r="G6207" i="1"/>
  <c r="E6208" i="1"/>
  <c r="F6209" i="1"/>
  <c r="G6210" i="1"/>
  <c r="G6211" i="1"/>
  <c r="G6212" i="1"/>
  <c r="B6213" i="1"/>
  <c r="C6214" i="1"/>
  <c r="D6215" i="1"/>
  <c r="E6216" i="1"/>
  <c r="F6217" i="1"/>
  <c r="G6218" i="1"/>
  <c r="G6219" i="1"/>
  <c r="G6220" i="1"/>
  <c r="E6221" i="1"/>
  <c r="F6222" i="1"/>
  <c r="G6223" i="1"/>
  <c r="E6224" i="1"/>
  <c r="F6225" i="1"/>
  <c r="G6226" i="1"/>
  <c r="C6227" i="1"/>
  <c r="D6228" i="1"/>
  <c r="E6229" i="1"/>
  <c r="F6230" i="1"/>
  <c r="G6231" i="1"/>
  <c r="G6232" i="1"/>
  <c r="D6233" i="1"/>
  <c r="E6234" i="1"/>
  <c r="F6235" i="1"/>
  <c r="G6236" i="1"/>
  <c r="E6237" i="1"/>
  <c r="F6238" i="1"/>
  <c r="G6239" i="1"/>
  <c r="E6240" i="1"/>
  <c r="F6241" i="1"/>
  <c r="G6242" i="1"/>
  <c r="C6243" i="1"/>
  <c r="D6244" i="1"/>
  <c r="E6245" i="1"/>
  <c r="F6246" i="1"/>
  <c r="G6247" i="1"/>
  <c r="E6248" i="1"/>
  <c r="F6249" i="1"/>
  <c r="G6250" i="1"/>
  <c r="E6251" i="1"/>
  <c r="F6252" i="1"/>
  <c r="G6253" i="1"/>
  <c r="E6254" i="1"/>
  <c r="F6255" i="1"/>
  <c r="G6256" i="1"/>
  <c r="B6258" i="1"/>
  <c r="C6259" i="1"/>
  <c r="D6260" i="1"/>
  <c r="E6261" i="1"/>
  <c r="F6262" i="1"/>
  <c r="G6263" i="1"/>
  <c r="G6264" i="1"/>
  <c r="G6265" i="1"/>
  <c r="G6266" i="1"/>
  <c r="G6267" i="1"/>
  <c r="F6268" i="1"/>
  <c r="G6269" i="1"/>
  <c r="G6270" i="1"/>
  <c r="F6271" i="1"/>
  <c r="G6272" i="1"/>
  <c r="E6273" i="1"/>
  <c r="F6274" i="1"/>
  <c r="G6275" i="1"/>
  <c r="G6276" i="1"/>
  <c r="G6277" i="1"/>
  <c r="G6278" i="1"/>
  <c r="F6279" i="1"/>
  <c r="G6280" i="1"/>
  <c r="G6281" i="1"/>
  <c r="F6282" i="1"/>
  <c r="G6283" i="1"/>
  <c r="E6284" i="1"/>
  <c r="F6285" i="1"/>
  <c r="G6286" i="1"/>
  <c r="F6287" i="1"/>
  <c r="G6288" i="1"/>
  <c r="F6289" i="1"/>
  <c r="G6290" i="1"/>
  <c r="E6291" i="1"/>
  <c r="F6292" i="1"/>
  <c r="G6293" i="1"/>
  <c r="D6294" i="1"/>
  <c r="E6295" i="1"/>
  <c r="F6296" i="1"/>
  <c r="G6297" i="1"/>
  <c r="G6298" i="1"/>
  <c r="F6299" i="1"/>
  <c r="G6300" i="1"/>
  <c r="F6301" i="1"/>
  <c r="G6302" i="1"/>
  <c r="E6303" i="1"/>
  <c r="F6304" i="1"/>
  <c r="G6305" i="1"/>
  <c r="F6306" i="1"/>
  <c r="G6307" i="1"/>
  <c r="F6308" i="1"/>
  <c r="G6309" i="1"/>
  <c r="F6310" i="1"/>
  <c r="G6311" i="1"/>
  <c r="D6312" i="1"/>
  <c r="E6313" i="1"/>
  <c r="F6314" i="1"/>
  <c r="G6315" i="1"/>
  <c r="F6316" i="1"/>
  <c r="G6317" i="1"/>
  <c r="F6318" i="1"/>
  <c r="G6319" i="1"/>
  <c r="E6320" i="1"/>
  <c r="F6321" i="1"/>
  <c r="G6322" i="1"/>
  <c r="G6323" i="1"/>
  <c r="G6324" i="1"/>
  <c r="F6325" i="1"/>
  <c r="G6326" i="1"/>
  <c r="F6327" i="1"/>
  <c r="G6328" i="1"/>
  <c r="E6329" i="1"/>
  <c r="F6330" i="1"/>
  <c r="G6331" i="1"/>
  <c r="G6332" i="1"/>
  <c r="F6333" i="1"/>
  <c r="G6334" i="1"/>
  <c r="G6335" i="1"/>
  <c r="F6336" i="1"/>
  <c r="G6337" i="1"/>
  <c r="E6338" i="1"/>
  <c r="F6339" i="1"/>
  <c r="G6340" i="1"/>
  <c r="D6341" i="1"/>
  <c r="E6342" i="1"/>
  <c r="F6343" i="1"/>
  <c r="G6344" i="1"/>
  <c r="G6345" i="1"/>
  <c r="G6346" i="1"/>
  <c r="G6347" i="1"/>
  <c r="G6348" i="1"/>
  <c r="G6349" i="1"/>
  <c r="F6350" i="1"/>
  <c r="G6351" i="1"/>
  <c r="F6352" i="1"/>
  <c r="G6353" i="1"/>
  <c r="E6354" i="1"/>
  <c r="F6355" i="1"/>
  <c r="G6356" i="1"/>
  <c r="G6357" i="1"/>
  <c r="F6358" i="1"/>
  <c r="G6359" i="1"/>
  <c r="F6360" i="1"/>
  <c r="G6361" i="1"/>
  <c r="E6362" i="1"/>
  <c r="F6363" i="1"/>
  <c r="G6364" i="1"/>
  <c r="C6365" i="1"/>
  <c r="D6366" i="1"/>
  <c r="E6367" i="1"/>
  <c r="F6368" i="1"/>
  <c r="G6369" i="1"/>
  <c r="G6370" i="1"/>
  <c r="G6371" i="1"/>
  <c r="G6372" i="1"/>
  <c r="F6373" i="1"/>
  <c r="G6374" i="1"/>
  <c r="E6375" i="1"/>
  <c r="F6376" i="1"/>
  <c r="G6377" i="1"/>
  <c r="G6378" i="1"/>
  <c r="G6379" i="1"/>
  <c r="G6380" i="1"/>
  <c r="F6381" i="1"/>
  <c r="G6382" i="1"/>
  <c r="G6383" i="1"/>
  <c r="F6384" i="1"/>
  <c r="G6385" i="1"/>
  <c r="G6386" i="1"/>
  <c r="F6387" i="1"/>
  <c r="G6388" i="1"/>
  <c r="F6389" i="1"/>
  <c r="G6390" i="1"/>
  <c r="E6391" i="1"/>
  <c r="F6392" i="1"/>
  <c r="G6393" i="1"/>
  <c r="G6394" i="1"/>
  <c r="B6395" i="1"/>
  <c r="C6396" i="1"/>
  <c r="D6397" i="1"/>
  <c r="E6398" i="1"/>
  <c r="F6399" i="1"/>
  <c r="G6400" i="1"/>
  <c r="G6401" i="1"/>
  <c r="F6402" i="1"/>
  <c r="G6403" i="1"/>
  <c r="G6404" i="1"/>
  <c r="G6405" i="1"/>
  <c r="G6406" i="1"/>
  <c r="F6407" i="1"/>
  <c r="G6408" i="1"/>
  <c r="E6409" i="1"/>
  <c r="F6410" i="1"/>
  <c r="G6411" i="1"/>
  <c r="F6412" i="1"/>
  <c r="G6413" i="1"/>
  <c r="G6414" i="1"/>
  <c r="G6415" i="1"/>
  <c r="F6416" i="1"/>
  <c r="G6417" i="1"/>
  <c r="D6418" i="1"/>
  <c r="E6419" i="1"/>
  <c r="F6420" i="1"/>
  <c r="G6421" i="1"/>
  <c r="G6422" i="1"/>
  <c r="E6423" i="1"/>
  <c r="F6424" i="1"/>
  <c r="G6425" i="1"/>
  <c r="G6426" i="1"/>
  <c r="G6427" i="1"/>
  <c r="E6428" i="1"/>
  <c r="F6429" i="1"/>
  <c r="G6430" i="1"/>
  <c r="G6431" i="1"/>
  <c r="G6432" i="1"/>
  <c r="D6433" i="1"/>
  <c r="E6434" i="1"/>
  <c r="F6435" i="1"/>
  <c r="G6436" i="1"/>
  <c r="E6437" i="1"/>
  <c r="F6438" i="1"/>
  <c r="G6439" i="1"/>
  <c r="D6440" i="1"/>
  <c r="E6441" i="1"/>
  <c r="F6442" i="1"/>
  <c r="G6443" i="1"/>
  <c r="C6444" i="1"/>
  <c r="D6445" i="1"/>
  <c r="E6446" i="1"/>
  <c r="F6447" i="1"/>
  <c r="G6448" i="1"/>
  <c r="G6449" i="1"/>
  <c r="G6450" i="1"/>
  <c r="F6451" i="1"/>
  <c r="G6452" i="1"/>
  <c r="G6453" i="1"/>
  <c r="F6454" i="1"/>
  <c r="G6455" i="1"/>
  <c r="E6456" i="1"/>
  <c r="F6457" i="1"/>
  <c r="G6458" i="1"/>
  <c r="G6459" i="1"/>
  <c r="F6460" i="1"/>
  <c r="G6461" i="1"/>
  <c r="F6462" i="1"/>
  <c r="G6463" i="1"/>
  <c r="E6464" i="1"/>
  <c r="F6465" i="1"/>
  <c r="G6466" i="1"/>
  <c r="B6467" i="1"/>
  <c r="C6468" i="1"/>
  <c r="D6469" i="1"/>
  <c r="E6470" i="1"/>
  <c r="F6471" i="1"/>
  <c r="G6472" i="1"/>
  <c r="G6473" i="1"/>
  <c r="F6474" i="1"/>
  <c r="G6475" i="1"/>
  <c r="F6476" i="1"/>
  <c r="G6477" i="1"/>
  <c r="E6478" i="1"/>
  <c r="F6479" i="1"/>
  <c r="G6480" i="1"/>
  <c r="G6481" i="1"/>
  <c r="F6482" i="1"/>
  <c r="G6483" i="1"/>
  <c r="F6484" i="1"/>
  <c r="G6485" i="1"/>
  <c r="C6486" i="1"/>
  <c r="D6487" i="1"/>
  <c r="E6488" i="1"/>
  <c r="F6489" i="1"/>
  <c r="G6490" i="1"/>
  <c r="F6491" i="1"/>
  <c r="G6492" i="1"/>
  <c r="F6493" i="1"/>
  <c r="G6494" i="1"/>
  <c r="F6495" i="1"/>
  <c r="G6496" i="1"/>
  <c r="E6497" i="1"/>
  <c r="F6498" i="1"/>
  <c r="G6499" i="1"/>
  <c r="F6500" i="1"/>
  <c r="G6501" i="1"/>
  <c r="F6502" i="1"/>
  <c r="G6503" i="1"/>
  <c r="F6504" i="1"/>
  <c r="G6505" i="1"/>
  <c r="E6506" i="1"/>
  <c r="F6507" i="1"/>
  <c r="G6508" i="1"/>
  <c r="G6509" i="1"/>
  <c r="F6510" i="1"/>
  <c r="G6511" i="1"/>
  <c r="F6512" i="1"/>
  <c r="G6513" i="1"/>
  <c r="G6514" i="1"/>
  <c r="F6515" i="1"/>
  <c r="G6516" i="1"/>
  <c r="B6517" i="1"/>
  <c r="C6518" i="1"/>
  <c r="D6519" i="1"/>
  <c r="E6520" i="1"/>
  <c r="F6521" i="1"/>
  <c r="G6522" i="1"/>
  <c r="G6523" i="1"/>
  <c r="G6524" i="1"/>
  <c r="G6525" i="1"/>
  <c r="E6526" i="1"/>
  <c r="F6527" i="1"/>
  <c r="G6528" i="1"/>
  <c r="G6529" i="1"/>
  <c r="G6530" i="1"/>
  <c r="E6531" i="1"/>
  <c r="F6532" i="1"/>
  <c r="G6533" i="1"/>
  <c r="G6534" i="1"/>
  <c r="G6535" i="1"/>
  <c r="F6536" i="1"/>
  <c r="G6537" i="1"/>
  <c r="F6538" i="1"/>
  <c r="G6539" i="1"/>
  <c r="C6540" i="1"/>
  <c r="D6541" i="1"/>
  <c r="E6542" i="1"/>
  <c r="F6543" i="1"/>
  <c r="G6544" i="1"/>
  <c r="G6545" i="1"/>
  <c r="E6546" i="1"/>
  <c r="F6547" i="1"/>
  <c r="G6548" i="1"/>
  <c r="G6549" i="1"/>
  <c r="G6550" i="1"/>
  <c r="E6551" i="1"/>
  <c r="F6552" i="1"/>
  <c r="G6553" i="1"/>
  <c r="G6554" i="1"/>
  <c r="G6555" i="1"/>
  <c r="F6556" i="1"/>
  <c r="G6557" i="1"/>
  <c r="G6558" i="1"/>
  <c r="G6559" i="1"/>
  <c r="C6560" i="1"/>
  <c r="D6561" i="1"/>
  <c r="E6562" i="1"/>
  <c r="F6563" i="1"/>
  <c r="G6564" i="1"/>
  <c r="G6565" i="1"/>
  <c r="G6566" i="1"/>
  <c r="E6567" i="1"/>
  <c r="F6568" i="1"/>
  <c r="G6569" i="1"/>
  <c r="C6570" i="1"/>
  <c r="D6571" i="1"/>
  <c r="E6572" i="1"/>
  <c r="F6573" i="1"/>
  <c r="G6574" i="1"/>
  <c r="B6575" i="1"/>
  <c r="C6576" i="1"/>
  <c r="D6577" i="1"/>
  <c r="E6578" i="1"/>
  <c r="F6579" i="1"/>
  <c r="G6580" i="1"/>
  <c r="G6581" i="1"/>
  <c r="F6582" i="1"/>
  <c r="G6583" i="1"/>
  <c r="E6584" i="1"/>
  <c r="F6585" i="1"/>
  <c r="G6586" i="1"/>
  <c r="F6587" i="1"/>
  <c r="G6588" i="1"/>
  <c r="D6589" i="1"/>
  <c r="E6590" i="1"/>
  <c r="F6591" i="1"/>
  <c r="G6592" i="1"/>
  <c r="G6593" i="1"/>
  <c r="E6594" i="1"/>
  <c r="F6595" i="1"/>
  <c r="G6596" i="1"/>
  <c r="G6597" i="1"/>
  <c r="E6598" i="1"/>
  <c r="F6599" i="1"/>
  <c r="G6600" i="1"/>
  <c r="G6601" i="1"/>
  <c r="D6602" i="1"/>
  <c r="E6603" i="1"/>
  <c r="F6604" i="1"/>
  <c r="G6605" i="1"/>
  <c r="F6606" i="1"/>
  <c r="G6607" i="1"/>
  <c r="B6608" i="1"/>
  <c r="C6609" i="1"/>
  <c r="D6610" i="1"/>
  <c r="E6611" i="1"/>
  <c r="F6612" i="1"/>
  <c r="G6613" i="1"/>
  <c r="E6614" i="1"/>
  <c r="F6615" i="1"/>
  <c r="G6616" i="1"/>
  <c r="G6617" i="1"/>
  <c r="G6618" i="1"/>
  <c r="F6619" i="1"/>
  <c r="G6620" i="1"/>
  <c r="G6621" i="1"/>
  <c r="F6622" i="1"/>
  <c r="G6623" i="1"/>
  <c r="D6624" i="1"/>
  <c r="E6625" i="1"/>
  <c r="F6626" i="1"/>
  <c r="G6627" i="1"/>
  <c r="G6628" i="1"/>
  <c r="C6629" i="1"/>
  <c r="D6630" i="1"/>
  <c r="E6631" i="1"/>
  <c r="F6632" i="1"/>
  <c r="G6633" i="1"/>
  <c r="E6634" i="1"/>
  <c r="F6635" i="1"/>
  <c r="G6636" i="1"/>
  <c r="D6637" i="1"/>
  <c r="E6638" i="1"/>
  <c r="F6639" i="1"/>
  <c r="G6640" i="1"/>
  <c r="F6641" i="1"/>
  <c r="G6642" i="1"/>
  <c r="B6644" i="1"/>
  <c r="C6645" i="1"/>
  <c r="D6646" i="1"/>
  <c r="E6647" i="1"/>
  <c r="F6648" i="1"/>
  <c r="G6649" i="1"/>
  <c r="D6650" i="1"/>
  <c r="E6651" i="1"/>
  <c r="F6652" i="1"/>
  <c r="G6653" i="1"/>
  <c r="F6654" i="1"/>
  <c r="G6655" i="1"/>
  <c r="F6656" i="1"/>
  <c r="G6657" i="1"/>
  <c r="E6658" i="1"/>
  <c r="F6659" i="1"/>
  <c r="G6660" i="1"/>
  <c r="F6661" i="1"/>
  <c r="G6662" i="1"/>
  <c r="F6663" i="1"/>
  <c r="G6664" i="1"/>
  <c r="E6665" i="1"/>
  <c r="F6666" i="1"/>
  <c r="G6667" i="1"/>
  <c r="F6668" i="1"/>
  <c r="G6669" i="1"/>
  <c r="E6670" i="1"/>
  <c r="F6671" i="1"/>
  <c r="G6672" i="1"/>
  <c r="F6673" i="1"/>
  <c r="G6674" i="1"/>
  <c r="F6675" i="1"/>
  <c r="G6676" i="1"/>
  <c r="E6677" i="1"/>
  <c r="F6678" i="1"/>
  <c r="G6679" i="1"/>
  <c r="F6680" i="1"/>
  <c r="G6681" i="1"/>
  <c r="F6682" i="1"/>
  <c r="G6683" i="1"/>
  <c r="C6684" i="1"/>
  <c r="D6685" i="1"/>
  <c r="E6686" i="1"/>
  <c r="F6687" i="1"/>
  <c r="G6688" i="1"/>
  <c r="E6689" i="1"/>
  <c r="F6690" i="1"/>
  <c r="G6691" i="1"/>
  <c r="C6692" i="1"/>
  <c r="D6693" i="1"/>
  <c r="E6694" i="1"/>
  <c r="F6695" i="1"/>
  <c r="G6696" i="1"/>
  <c r="E6697" i="1"/>
  <c r="F6698" i="1"/>
  <c r="G6699" i="1"/>
  <c r="E6700" i="1"/>
  <c r="F6701" i="1"/>
  <c r="G6702" i="1"/>
  <c r="C6703" i="1"/>
  <c r="D6704" i="1"/>
  <c r="E6705" i="1"/>
  <c r="F6706" i="1"/>
  <c r="G6707" i="1"/>
  <c r="E6708" i="1"/>
  <c r="F6709" i="1"/>
  <c r="G6710" i="1"/>
  <c r="E6711" i="1"/>
  <c r="F6712" i="1"/>
  <c r="G6713" i="1"/>
  <c r="D6714" i="1"/>
  <c r="E6715" i="1"/>
  <c r="F6716" i="1"/>
  <c r="G6717" i="1"/>
  <c r="E6718" i="1"/>
  <c r="F6719" i="1"/>
  <c r="G6720" i="1"/>
  <c r="E6721" i="1"/>
  <c r="F6722" i="1"/>
  <c r="G6723" i="1"/>
  <c r="E6724" i="1"/>
  <c r="F6725" i="1"/>
  <c r="G6726" i="1"/>
  <c r="E6727" i="1"/>
  <c r="F6728" i="1"/>
  <c r="G6729" i="1"/>
  <c r="E6730" i="1"/>
  <c r="F6731" i="1"/>
  <c r="G6732" i="1"/>
  <c r="D6733" i="1"/>
  <c r="E6734" i="1"/>
  <c r="F6735" i="1"/>
  <c r="G6736" i="1"/>
  <c r="E6737" i="1"/>
  <c r="F6738" i="1"/>
  <c r="G6739" i="1"/>
  <c r="E6740" i="1"/>
  <c r="F6741" i="1"/>
  <c r="G6742" i="1"/>
  <c r="G6743" i="1"/>
  <c r="B6744" i="1"/>
  <c r="C6745" i="1"/>
  <c r="D6746" i="1"/>
  <c r="E6747" i="1"/>
  <c r="F6748" i="1"/>
  <c r="G6749" i="1"/>
  <c r="D6750" i="1"/>
  <c r="E6751" i="1"/>
  <c r="F6752" i="1"/>
  <c r="G6753" i="1"/>
  <c r="G6754" i="1"/>
  <c r="F6755" i="1"/>
  <c r="G6756" i="1"/>
  <c r="G6757" i="1"/>
  <c r="F6758" i="1"/>
  <c r="G6759" i="1"/>
  <c r="G6760" i="1"/>
  <c r="G6761" i="1"/>
  <c r="G6762" i="1"/>
  <c r="G6763" i="1"/>
  <c r="G6764" i="1"/>
  <c r="F6765" i="1"/>
  <c r="G6766" i="1"/>
  <c r="G6767" i="1"/>
  <c r="F6768" i="1"/>
  <c r="G6769" i="1"/>
  <c r="F6770" i="1"/>
  <c r="G6771" i="1"/>
  <c r="G6772" i="1"/>
  <c r="F6773" i="1"/>
  <c r="G6774" i="1"/>
  <c r="G6775" i="1"/>
  <c r="G6776" i="1"/>
  <c r="F6777" i="1"/>
  <c r="G6778" i="1"/>
  <c r="C6779" i="1"/>
  <c r="D6780" i="1"/>
  <c r="E6781" i="1"/>
  <c r="F6782" i="1"/>
  <c r="G6783" i="1"/>
  <c r="G6784" i="1"/>
  <c r="G6785" i="1"/>
  <c r="F6786" i="1"/>
  <c r="G6787" i="1"/>
  <c r="G6788" i="1"/>
  <c r="G6789" i="1"/>
  <c r="G6790" i="1"/>
  <c r="G6791" i="1"/>
  <c r="F6792" i="1"/>
  <c r="G6793" i="1"/>
  <c r="G6794" i="1"/>
  <c r="F6795" i="1"/>
  <c r="G6796" i="1"/>
  <c r="G6797" i="1"/>
  <c r="F6798" i="1"/>
  <c r="G6799" i="1"/>
  <c r="F6800" i="1"/>
  <c r="G6801" i="1"/>
  <c r="C6802" i="1"/>
  <c r="D6803" i="1"/>
  <c r="E6804" i="1"/>
  <c r="F6805" i="1"/>
  <c r="G6806" i="1"/>
  <c r="G6807" i="1"/>
  <c r="B6808" i="1"/>
  <c r="C6809" i="1"/>
  <c r="D6810" i="1"/>
  <c r="E6811" i="1"/>
  <c r="F6812" i="1"/>
  <c r="G6813" i="1"/>
  <c r="G6814" i="1"/>
  <c r="E6815" i="1"/>
  <c r="F6816" i="1"/>
  <c r="G6817" i="1"/>
  <c r="G6818" i="1"/>
  <c r="E6819" i="1"/>
  <c r="F6820" i="1"/>
  <c r="G6821" i="1"/>
  <c r="D6822" i="1"/>
  <c r="E6823" i="1"/>
  <c r="F6824" i="1"/>
  <c r="G6825" i="1"/>
  <c r="E6826" i="1"/>
  <c r="F6827" i="1"/>
  <c r="G6828" i="1"/>
  <c r="E6829" i="1"/>
  <c r="F6830" i="1"/>
  <c r="G6831" i="1"/>
  <c r="D6832" i="1"/>
  <c r="E6833" i="1"/>
  <c r="F6834" i="1"/>
  <c r="G6835" i="1"/>
  <c r="F6836" i="1"/>
  <c r="G6837" i="1"/>
  <c r="G6838" i="1"/>
  <c r="G6839" i="1"/>
  <c r="E6840" i="1"/>
  <c r="F6841" i="1"/>
  <c r="G6842" i="1"/>
  <c r="G6843" i="1"/>
  <c r="E6844" i="1"/>
  <c r="F6845" i="1"/>
  <c r="G6846" i="1"/>
  <c r="E6847" i="1"/>
  <c r="F6848" i="1"/>
  <c r="G6849" i="1"/>
  <c r="F6850" i="1"/>
  <c r="G6851" i="1"/>
  <c r="C6852" i="1"/>
  <c r="D6853" i="1"/>
  <c r="E6854" i="1"/>
  <c r="F6855" i="1"/>
  <c r="G6856" i="1"/>
  <c r="D6857" i="1"/>
  <c r="E6858" i="1"/>
  <c r="F6859" i="1"/>
  <c r="G6860" i="1"/>
  <c r="E6861" i="1"/>
  <c r="F6862" i="1"/>
  <c r="G6863" i="1"/>
  <c r="D6864" i="1"/>
  <c r="E6865" i="1"/>
  <c r="F6866" i="1"/>
  <c r="G6867" i="1"/>
  <c r="G6868" i="1"/>
  <c r="C6869" i="1"/>
  <c r="D6870" i="1"/>
  <c r="E6871" i="1"/>
  <c r="F6872" i="1"/>
  <c r="G6873" i="1"/>
  <c r="E6874" i="1"/>
  <c r="F6875" i="1"/>
  <c r="G6876" i="1"/>
  <c r="B6878" i="1"/>
  <c r="C6879" i="1"/>
  <c r="D6880" i="1"/>
  <c r="E6881" i="1"/>
  <c r="F6882" i="1"/>
  <c r="G6883" i="1"/>
  <c r="G6884" i="1"/>
  <c r="G6885" i="1"/>
  <c r="E6886" i="1"/>
  <c r="F6887" i="1"/>
  <c r="G6888" i="1"/>
  <c r="G6889" i="1"/>
  <c r="E6890" i="1"/>
  <c r="F6891" i="1"/>
  <c r="G6892" i="1"/>
  <c r="E6893" i="1"/>
  <c r="F6894" i="1"/>
  <c r="G6895" i="1"/>
  <c r="C6896" i="1"/>
  <c r="D6897" i="1"/>
  <c r="E6898" i="1"/>
  <c r="F6899" i="1"/>
  <c r="G6900" i="1"/>
  <c r="G6901" i="1"/>
  <c r="G6902" i="1"/>
  <c r="G6903" i="1"/>
  <c r="G6904" i="1"/>
  <c r="G6905" i="1"/>
  <c r="E6906" i="1"/>
  <c r="F6907" i="1"/>
  <c r="G6908" i="1"/>
  <c r="G6909" i="1"/>
  <c r="G6910" i="1"/>
  <c r="B6912" i="1"/>
  <c r="C6913" i="1"/>
  <c r="D6914" i="1"/>
  <c r="E6915" i="1"/>
  <c r="F6916" i="1"/>
  <c r="G6917" i="1"/>
  <c r="G6918" i="1"/>
  <c r="G6919" i="1"/>
  <c r="G6920" i="1"/>
  <c r="G6921" i="1"/>
  <c r="G6922" i="1"/>
  <c r="G6923" i="1"/>
  <c r="G6924" i="1"/>
  <c r="G6925" i="1"/>
  <c r="C6926" i="1"/>
  <c r="D6927" i="1"/>
  <c r="E6928" i="1"/>
  <c r="F6929" i="1"/>
  <c r="G6930" i="1"/>
  <c r="F6931" i="1"/>
  <c r="G6932" i="1"/>
  <c r="G6933" i="1"/>
  <c r="G6934" i="1"/>
  <c r="G6935" i="1"/>
  <c r="G6936" i="1"/>
  <c r="F6937" i="1"/>
  <c r="G6938" i="1"/>
  <c r="G6939" i="1"/>
  <c r="F6940" i="1"/>
  <c r="G6941" i="1"/>
  <c r="B6942" i="1"/>
  <c r="C6943" i="1"/>
  <c r="D6944" i="1"/>
  <c r="E6945" i="1"/>
  <c r="F6946" i="1"/>
  <c r="G6947" i="1"/>
  <c r="C6948" i="1"/>
  <c r="D6949" i="1"/>
  <c r="E6950" i="1"/>
  <c r="F6951" i="1"/>
  <c r="G6952" i="1"/>
  <c r="E6953" i="1"/>
  <c r="F6954" i="1"/>
  <c r="G6955" i="1"/>
  <c r="E6956" i="1"/>
  <c r="F6957" i="1"/>
  <c r="G6958" i="1"/>
  <c r="G6959" i="1"/>
  <c r="G6960" i="1"/>
  <c r="G6961" i="1"/>
  <c r="G6962" i="1"/>
  <c r="G6963" i="1"/>
  <c r="F6964" i="1"/>
  <c r="G6965" i="1"/>
  <c r="F6966" i="1"/>
  <c r="G6967" i="1"/>
  <c r="F6968" i="1"/>
  <c r="G6969" i="1"/>
  <c r="B6970" i="1"/>
  <c r="C6971" i="1"/>
  <c r="D6972" i="1"/>
  <c r="E6973" i="1"/>
  <c r="F6974" i="1"/>
  <c r="G6975" i="1"/>
  <c r="F6976" i="1"/>
  <c r="G6977" i="1"/>
  <c r="G6978" i="1"/>
  <c r="G6979" i="1"/>
  <c r="G6980" i="1"/>
  <c r="F6981" i="1"/>
  <c r="G6982" i="1"/>
  <c r="G6983" i="1"/>
  <c r="G6984" i="1"/>
  <c r="F6985" i="1"/>
  <c r="G6986" i="1"/>
  <c r="G6987" i="1"/>
  <c r="E6988" i="1"/>
  <c r="F6989" i="1"/>
  <c r="G6990" i="1"/>
  <c r="F6991" i="1"/>
  <c r="G6992" i="1"/>
  <c r="G6993" i="1"/>
  <c r="G6994" i="1"/>
  <c r="G6995" i="1"/>
  <c r="G6996" i="1"/>
  <c r="G6997" i="1"/>
  <c r="G6998" i="1"/>
  <c r="G6999" i="1"/>
  <c r="F7000" i="1"/>
  <c r="G7001" i="1"/>
  <c r="E7002" i="1"/>
  <c r="F7003" i="1"/>
  <c r="G7004" i="1"/>
  <c r="G7005" i="1"/>
  <c r="G7006" i="1"/>
  <c r="G7007" i="1"/>
  <c r="G7008" i="1"/>
  <c r="C7009" i="1"/>
  <c r="D7010" i="1"/>
  <c r="E7011" i="1"/>
  <c r="F7012" i="1"/>
  <c r="G7013" i="1"/>
  <c r="G7014" i="1"/>
  <c r="E7015" i="1"/>
  <c r="F7016" i="1"/>
  <c r="G7017" i="1"/>
  <c r="E7018" i="1"/>
  <c r="F7019" i="1"/>
  <c r="G7020" i="1"/>
  <c r="G7021" i="1"/>
  <c r="B7022" i="1"/>
  <c r="C7023" i="1"/>
  <c r="D7024" i="1"/>
  <c r="E7025" i="1"/>
  <c r="F7026" i="1"/>
  <c r="G7027" i="1"/>
  <c r="G7028" i="1"/>
  <c r="G7029" i="1"/>
  <c r="G7030" i="1"/>
  <c r="G7031" i="1"/>
  <c r="G7032" i="1"/>
  <c r="G7033" i="1"/>
  <c r="F7034" i="1"/>
  <c r="G7035" i="1"/>
  <c r="F7036" i="1"/>
  <c r="G7037" i="1"/>
  <c r="F7038" i="1"/>
  <c r="G7039" i="1"/>
  <c r="E7040" i="1"/>
  <c r="F7041" i="1"/>
  <c r="G7042" i="1"/>
  <c r="G7043" i="1"/>
  <c r="G7044" i="1"/>
  <c r="F7045" i="1"/>
  <c r="G7046" i="1"/>
  <c r="E7047" i="1"/>
  <c r="F7048" i="1"/>
  <c r="G7049" i="1"/>
  <c r="G7050" i="1"/>
  <c r="F7051" i="1"/>
  <c r="G7052" i="1"/>
  <c r="C7053" i="1"/>
  <c r="D7054" i="1"/>
  <c r="E7055" i="1"/>
  <c r="F7056" i="1"/>
  <c r="G7057" i="1"/>
  <c r="G7058" i="1"/>
  <c r="G7059" i="1"/>
  <c r="G7060" i="1"/>
  <c r="F7061" i="1"/>
  <c r="G7062" i="1"/>
  <c r="G7063" i="1"/>
  <c r="F7064" i="1"/>
  <c r="G7065" i="1"/>
  <c r="B7066" i="1"/>
  <c r="C7067" i="1"/>
  <c r="D7068" i="1"/>
  <c r="E7069" i="1"/>
  <c r="F7070" i="1"/>
  <c r="G7071" i="1"/>
  <c r="G7072" i="1"/>
  <c r="G7073" i="1"/>
  <c r="G7074" i="1"/>
  <c r="E7075" i="1"/>
  <c r="F7076" i="1"/>
  <c r="G7077" i="1"/>
  <c r="G7078" i="1"/>
  <c r="G7079" i="1"/>
  <c r="G7080" i="1"/>
  <c r="G7081" i="1"/>
  <c r="G7082" i="1"/>
  <c r="C7083" i="1"/>
  <c r="D7084" i="1"/>
  <c r="E7085" i="1"/>
  <c r="F7086" i="1"/>
  <c r="G7087" i="1"/>
  <c r="F7088" i="1"/>
  <c r="G7089" i="1"/>
  <c r="B7090" i="1"/>
  <c r="C7091" i="1"/>
  <c r="D7092" i="1"/>
  <c r="E7093" i="1"/>
  <c r="F7094" i="1"/>
  <c r="G7095" i="1"/>
  <c r="F7096" i="1"/>
  <c r="G7097" i="1"/>
  <c r="E7098" i="1"/>
  <c r="F7099" i="1"/>
  <c r="G7100" i="1"/>
  <c r="G7101" i="1"/>
  <c r="F7102" i="1"/>
  <c r="G7103" i="1"/>
  <c r="C7104" i="1"/>
  <c r="D7105" i="1"/>
  <c r="E7106" i="1"/>
  <c r="F7107" i="1"/>
  <c r="G7108" i="1"/>
  <c r="G7109" i="1"/>
  <c r="G7110" i="1"/>
  <c r="F7111" i="1"/>
  <c r="G7112" i="1"/>
  <c r="G7113" i="1"/>
  <c r="G7114" i="1"/>
  <c r="G7115" i="1"/>
  <c r="G7116" i="1"/>
  <c r="F7117" i="1"/>
  <c r="G7118" i="1"/>
  <c r="G7119" i="1"/>
  <c r="G7120" i="1"/>
  <c r="C7121" i="1"/>
  <c r="D7122" i="1"/>
  <c r="E7123" i="1"/>
  <c r="F7124" i="1"/>
  <c r="G7125" i="1"/>
  <c r="G7126" i="1"/>
  <c r="E7127" i="1"/>
  <c r="F7128" i="1"/>
  <c r="G7129" i="1"/>
  <c r="E7130" i="1"/>
  <c r="F7131" i="1"/>
  <c r="G7132" i="1"/>
  <c r="G7133" i="1"/>
  <c r="G7134" i="1"/>
  <c r="G7135" i="1"/>
  <c r="G7136" i="1"/>
  <c r="G7137" i="1"/>
  <c r="B7138" i="1"/>
  <c r="C7139" i="1"/>
  <c r="D7140" i="1"/>
  <c r="E7141" i="1"/>
  <c r="F7142" i="1"/>
  <c r="G7143" i="1"/>
  <c r="G7144" i="1"/>
  <c r="G7145" i="1"/>
  <c r="B7147" i="1"/>
  <c r="C7148" i="1"/>
  <c r="D7149" i="1"/>
  <c r="E7150" i="1"/>
  <c r="F7151" i="1"/>
  <c r="G7152" i="1"/>
  <c r="E7153" i="1"/>
  <c r="F7154" i="1"/>
  <c r="G7155" i="1"/>
  <c r="G7156" i="1"/>
  <c r="C7157" i="1"/>
  <c r="D7158" i="1"/>
  <c r="E7159" i="1"/>
  <c r="F7160" i="1"/>
  <c r="G7161" i="1"/>
  <c r="D7162" i="1"/>
  <c r="E7163" i="1"/>
  <c r="F7164" i="1"/>
  <c r="G7165" i="1"/>
  <c r="D7166" i="1"/>
  <c r="E7167" i="1"/>
  <c r="F7168" i="1"/>
  <c r="G7169" i="1"/>
  <c r="E7170" i="1"/>
  <c r="F7171" i="1"/>
  <c r="G7172" i="1"/>
  <c r="G7173" i="1"/>
  <c r="G7174" i="1"/>
  <c r="G7175" i="1"/>
  <c r="G7176" i="1"/>
  <c r="G7177" i="1"/>
  <c r="G7178" i="1"/>
  <c r="C7179" i="1"/>
  <c r="D7180" i="1"/>
  <c r="E7181" i="1"/>
  <c r="F7182" i="1"/>
  <c r="G7183" i="1"/>
  <c r="G7184" i="1"/>
  <c r="E7185" i="1"/>
  <c r="F7186" i="1"/>
  <c r="G7187" i="1"/>
  <c r="E7188" i="1"/>
  <c r="F7189" i="1"/>
  <c r="G7190" i="1"/>
  <c r="E7191" i="1"/>
  <c r="F7192" i="1"/>
  <c r="G7193" i="1"/>
  <c r="E7194" i="1"/>
  <c r="F7195" i="1"/>
  <c r="G7196" i="1"/>
  <c r="E7197" i="1"/>
  <c r="F7198" i="1"/>
  <c r="G7199" i="1"/>
  <c r="G7200" i="1"/>
  <c r="E7201" i="1"/>
  <c r="F7202" i="1"/>
  <c r="G7203" i="1"/>
  <c r="G7204" i="1"/>
  <c r="G7205" i="1"/>
  <c r="C7206" i="1"/>
  <c r="D7207" i="1"/>
  <c r="E7208" i="1"/>
  <c r="F7209" i="1"/>
  <c r="G7210" i="1"/>
  <c r="G7211" i="1"/>
  <c r="G7212" i="1"/>
  <c r="G7213" i="1"/>
  <c r="B7214" i="1"/>
  <c r="C7215" i="1"/>
  <c r="D7216" i="1"/>
  <c r="E7217" i="1"/>
  <c r="F7218" i="1"/>
  <c r="G7219" i="1"/>
  <c r="E7220" i="1"/>
  <c r="F7221" i="1"/>
  <c r="G7222" i="1"/>
  <c r="G7223" i="1"/>
  <c r="C7224" i="1"/>
  <c r="D7225" i="1"/>
  <c r="E7226" i="1"/>
  <c r="F7227" i="1"/>
  <c r="G7228" i="1"/>
  <c r="G7229" i="1"/>
  <c r="G7230" i="1"/>
  <c r="G7231" i="1"/>
  <c r="G7232" i="1"/>
  <c r="G7233" i="1"/>
  <c r="G7234" i="1"/>
  <c r="C7235" i="1"/>
  <c r="D7236" i="1"/>
  <c r="E7237" i="1"/>
  <c r="F7238" i="1"/>
  <c r="G7239" i="1"/>
  <c r="G7240" i="1"/>
  <c r="G7241" i="1"/>
  <c r="G7242" i="1"/>
  <c r="G7243" i="1"/>
  <c r="G7244" i="1"/>
  <c r="G7245" i="1"/>
  <c r="B7246" i="1"/>
  <c r="C7247" i="1"/>
  <c r="D7248" i="1"/>
  <c r="E7249" i="1"/>
  <c r="F7250" i="1"/>
  <c r="G7251" i="1"/>
  <c r="G7252" i="1"/>
  <c r="G7253" i="1"/>
  <c r="G7254" i="1"/>
  <c r="G7255" i="1"/>
  <c r="F7256" i="1"/>
  <c r="G7257" i="1"/>
  <c r="G7258" i="1"/>
  <c r="G7259" i="1"/>
  <c r="D7260" i="1"/>
  <c r="E7261" i="1"/>
  <c r="F7262" i="1"/>
  <c r="G7263" i="1"/>
  <c r="G7264" i="1"/>
  <c r="C7265" i="1"/>
  <c r="D7266" i="1"/>
  <c r="E7267" i="1"/>
  <c r="F7268" i="1"/>
  <c r="G7269" i="1"/>
  <c r="E7270" i="1"/>
  <c r="F7271" i="1"/>
  <c r="G7272" i="1"/>
  <c r="G7273" i="1"/>
  <c r="F7274" i="1"/>
  <c r="G7275" i="1"/>
  <c r="G7276" i="1"/>
  <c r="G7277" i="1"/>
  <c r="B7278" i="1"/>
  <c r="C7279" i="1"/>
  <c r="D7280" i="1"/>
  <c r="E7281" i="1"/>
  <c r="F7282" i="1"/>
  <c r="G7283" i="1"/>
  <c r="G7284" i="1"/>
  <c r="G7285" i="1"/>
  <c r="C7286" i="1"/>
  <c r="D7287" i="1"/>
  <c r="E7288" i="1"/>
  <c r="F7289" i="1"/>
  <c r="G7290" i="1"/>
  <c r="C7291" i="1"/>
  <c r="D7292" i="1"/>
  <c r="E7293" i="1"/>
  <c r="F7294" i="1"/>
  <c r="G7295" i="1"/>
  <c r="B7296" i="1"/>
  <c r="C7297" i="1"/>
  <c r="D7298" i="1"/>
  <c r="E7299" i="1"/>
  <c r="F7300" i="1"/>
  <c r="G7301" i="1"/>
  <c r="C7302" i="1"/>
  <c r="D7303" i="1"/>
  <c r="E7304" i="1"/>
  <c r="F7305" i="1"/>
  <c r="G7306" i="1"/>
  <c r="D7307" i="1"/>
  <c r="E7308" i="1"/>
  <c r="F7309" i="1"/>
  <c r="G7310" i="1"/>
  <c r="E7311" i="1"/>
  <c r="F7312" i="1"/>
  <c r="G7313" i="1"/>
  <c r="G7314" i="1"/>
  <c r="E7315" i="1"/>
  <c r="F7316" i="1"/>
  <c r="G7317" i="1"/>
  <c r="E7318" i="1"/>
  <c r="F7319" i="1"/>
  <c r="G7320" i="1"/>
  <c r="G7321" i="1"/>
  <c r="C7322" i="1"/>
  <c r="D7323" i="1"/>
  <c r="E7324" i="1"/>
  <c r="F7325" i="1"/>
  <c r="G7326" i="1"/>
  <c r="B7327" i="1"/>
  <c r="C7328" i="1"/>
  <c r="D7329" i="1"/>
  <c r="E7330" i="1"/>
  <c r="F7331" i="1"/>
  <c r="G7332" i="1"/>
  <c r="D7333" i="1"/>
  <c r="E7334" i="1"/>
  <c r="F7335" i="1"/>
  <c r="G7336" i="1"/>
  <c r="E7337" i="1"/>
  <c r="F7338" i="1"/>
  <c r="G7339" i="1"/>
  <c r="G7340" i="1"/>
  <c r="C7341" i="1"/>
  <c r="D7342" i="1"/>
  <c r="E7343" i="1"/>
  <c r="F7344" i="1"/>
  <c r="G7345" i="1"/>
  <c r="C7346" i="1"/>
  <c r="D7347" i="1"/>
  <c r="E7348" i="1"/>
  <c r="F7349" i="1"/>
  <c r="G7350" i="1"/>
  <c r="E7351" i="1"/>
  <c r="F7352" i="1"/>
  <c r="G7353" i="1"/>
  <c r="C7354" i="1"/>
  <c r="D7355" i="1"/>
  <c r="E7356" i="1"/>
  <c r="F7357" i="1"/>
  <c r="G7358" i="1"/>
  <c r="E7359" i="1"/>
  <c r="F7360" i="1"/>
  <c r="G7361" i="1"/>
  <c r="D7362" i="1"/>
  <c r="E7363" i="1"/>
  <c r="F7364" i="1"/>
  <c r="G7365" i="1"/>
  <c r="D7366" i="1"/>
  <c r="E7367" i="1"/>
  <c r="F7368" i="1"/>
  <c r="G7369" i="1"/>
  <c r="G7370" i="1"/>
  <c r="G7371" i="1"/>
  <c r="B7373" i="1"/>
  <c r="C7374" i="1"/>
  <c r="D7375" i="1"/>
  <c r="E7376" i="1"/>
  <c r="F7377" i="1"/>
  <c r="G7378" i="1"/>
  <c r="G7379" i="1"/>
  <c r="G7380" i="1"/>
  <c r="G7381" i="1"/>
  <c r="G7382" i="1"/>
  <c r="E7383" i="1"/>
  <c r="F7384" i="1"/>
  <c r="G7385" i="1"/>
  <c r="G7386" i="1"/>
  <c r="D7387" i="1"/>
  <c r="E7388" i="1"/>
  <c r="F7389" i="1"/>
  <c r="G7390" i="1"/>
  <c r="E7391" i="1"/>
  <c r="F7392" i="1"/>
  <c r="G7393" i="1"/>
  <c r="E7394" i="1"/>
  <c r="F7395" i="1"/>
  <c r="G7396" i="1"/>
  <c r="E7397" i="1"/>
  <c r="F7398" i="1"/>
  <c r="G7399" i="1"/>
  <c r="D7400" i="1"/>
  <c r="E7401" i="1"/>
  <c r="F7402" i="1"/>
  <c r="G7403" i="1"/>
  <c r="E7404" i="1"/>
  <c r="F7405" i="1"/>
  <c r="G7406" i="1"/>
  <c r="E7407" i="1"/>
  <c r="F7408" i="1"/>
  <c r="G7409" i="1"/>
  <c r="E7410" i="1"/>
  <c r="F7411" i="1"/>
  <c r="G7412" i="1"/>
  <c r="E7413" i="1"/>
  <c r="F7414" i="1"/>
  <c r="G7415" i="1"/>
  <c r="E7416" i="1"/>
  <c r="F7417" i="1"/>
  <c r="G7418" i="1"/>
  <c r="G7419" i="1"/>
  <c r="E7420" i="1"/>
  <c r="F7421" i="1"/>
  <c r="G7422" i="1"/>
  <c r="G7423" i="1"/>
  <c r="C7424" i="1"/>
  <c r="D7425" i="1"/>
  <c r="E7426" i="1"/>
  <c r="F7427" i="1"/>
  <c r="G7428" i="1"/>
  <c r="G7429" i="1"/>
  <c r="G7430" i="1"/>
  <c r="D7431" i="1"/>
  <c r="E7432" i="1"/>
  <c r="F7433" i="1"/>
  <c r="G7434" i="1"/>
  <c r="G7435" i="1"/>
  <c r="D7436" i="1"/>
  <c r="E7437" i="1"/>
  <c r="F7438" i="1"/>
  <c r="G7439" i="1"/>
  <c r="G7440" i="1"/>
  <c r="E7441" i="1"/>
  <c r="F7442" i="1"/>
  <c r="G7443" i="1"/>
  <c r="G7444" i="1"/>
  <c r="E7445" i="1"/>
  <c r="F7446" i="1"/>
  <c r="G7447" i="1"/>
  <c r="G7448" i="1"/>
  <c r="C7449" i="1"/>
  <c r="D7450" i="1"/>
  <c r="E7451" i="1"/>
  <c r="F7452" i="1"/>
  <c r="G7453" i="1"/>
  <c r="G7454" i="1"/>
  <c r="G7455" i="1"/>
  <c r="G7456" i="1"/>
  <c r="B7458" i="1"/>
  <c r="C7459" i="1"/>
  <c r="D7460" i="1"/>
  <c r="E7461" i="1"/>
  <c r="F7462" i="1"/>
  <c r="G7463" i="1"/>
  <c r="E7464" i="1"/>
  <c r="F7465" i="1"/>
  <c r="G7466" i="1"/>
  <c r="E7467" i="1"/>
  <c r="F7468" i="1"/>
  <c r="G7469" i="1"/>
  <c r="G7470" i="1"/>
  <c r="C7471" i="1"/>
  <c r="D7472" i="1"/>
  <c r="E7473" i="1"/>
  <c r="F7474" i="1"/>
  <c r="G7475" i="1"/>
  <c r="G7476" i="1"/>
  <c r="E7477" i="1"/>
  <c r="F7478" i="1"/>
  <c r="G7479" i="1"/>
  <c r="G7480" i="1"/>
  <c r="E7481" i="1"/>
  <c r="F7482" i="1"/>
  <c r="G7483" i="1"/>
  <c r="G7484" i="1"/>
  <c r="G7485" i="1"/>
  <c r="G7486" i="1"/>
  <c r="D7487" i="1"/>
  <c r="E7488" i="1"/>
  <c r="F7489" i="1"/>
  <c r="G7490" i="1"/>
  <c r="G7491" i="1"/>
  <c r="C7492" i="1"/>
  <c r="D7493" i="1"/>
  <c r="E7494" i="1"/>
  <c r="F7495" i="1"/>
  <c r="G7496" i="1"/>
  <c r="G7497" i="1"/>
  <c r="G7498" i="1"/>
  <c r="G7499" i="1"/>
  <c r="E7500" i="1"/>
  <c r="F7501" i="1"/>
  <c r="G7502" i="1"/>
  <c r="G7503" i="1"/>
  <c r="E7504" i="1"/>
  <c r="F7505" i="1"/>
  <c r="G7506" i="1"/>
  <c r="G7507" i="1"/>
  <c r="G7508" i="1"/>
  <c r="G7509" i="1"/>
  <c r="C7510" i="1"/>
  <c r="D7511" i="1"/>
  <c r="E7512" i="1"/>
  <c r="F7513" i="1"/>
  <c r="G7514" i="1"/>
  <c r="D7515" i="1"/>
  <c r="E7516" i="1"/>
  <c r="F7517" i="1"/>
  <c r="G7518" i="1"/>
  <c r="E7519" i="1"/>
  <c r="F7520" i="1"/>
  <c r="G7521" i="1"/>
  <c r="E7522" i="1"/>
  <c r="F7523" i="1"/>
  <c r="G7524" i="1"/>
  <c r="E7525" i="1"/>
  <c r="F7526" i="1"/>
  <c r="G7527" i="1"/>
  <c r="D7528" i="1"/>
  <c r="E7529" i="1"/>
  <c r="F7530" i="1"/>
  <c r="G7531" i="1"/>
  <c r="E7532" i="1"/>
  <c r="F7533" i="1"/>
  <c r="G7534" i="1"/>
  <c r="E7535" i="1"/>
  <c r="F7536" i="1"/>
  <c r="G7537" i="1"/>
  <c r="E7538" i="1"/>
  <c r="F7539" i="1"/>
  <c r="G7540" i="1"/>
  <c r="E7541" i="1"/>
  <c r="F7542" i="1"/>
  <c r="G7543" i="1"/>
  <c r="E7544" i="1"/>
  <c r="F7545" i="1"/>
  <c r="G7546" i="1"/>
  <c r="E7547" i="1"/>
  <c r="F7548" i="1"/>
  <c r="G7549" i="1"/>
  <c r="G7550" i="1"/>
  <c r="E7551" i="1"/>
  <c r="F7552" i="1"/>
  <c r="G7553" i="1"/>
  <c r="G7554" i="1"/>
  <c r="C7555" i="1"/>
  <c r="D7556" i="1"/>
  <c r="E7557" i="1"/>
  <c r="F7558" i="1"/>
  <c r="G7559" i="1"/>
  <c r="C7560" i="1"/>
  <c r="D7561" i="1"/>
  <c r="E7562" i="1"/>
  <c r="F7563" i="1"/>
  <c r="G7564" i="1"/>
  <c r="E7565" i="1"/>
  <c r="F7566" i="1"/>
  <c r="G7567" i="1"/>
  <c r="B7569" i="1"/>
  <c r="C7570" i="1"/>
  <c r="D7571" i="1"/>
  <c r="E7572" i="1"/>
  <c r="F7573" i="1"/>
  <c r="G7574" i="1"/>
  <c r="G7575" i="1"/>
  <c r="G7576" i="1"/>
  <c r="G7577" i="1"/>
  <c r="G7578" i="1"/>
  <c r="G7579" i="1"/>
  <c r="E7580" i="1"/>
  <c r="F7581" i="1"/>
  <c r="G7582" i="1"/>
  <c r="G7583" i="1"/>
  <c r="G7584" i="1"/>
  <c r="G7585" i="1"/>
  <c r="G7586" i="1"/>
  <c r="G7587" i="1"/>
  <c r="C7588" i="1"/>
  <c r="D7589" i="1"/>
  <c r="E7590" i="1"/>
  <c r="F7591" i="1"/>
  <c r="G7592" i="1"/>
  <c r="E7593" i="1"/>
  <c r="F7594" i="1"/>
  <c r="G7595" i="1"/>
  <c r="G7596" i="1"/>
  <c r="E7597" i="1"/>
  <c r="F7598" i="1"/>
  <c r="G7599" i="1"/>
  <c r="G7600" i="1"/>
  <c r="C7601" i="1"/>
  <c r="D7602" i="1"/>
  <c r="E7603" i="1"/>
  <c r="F7604" i="1"/>
  <c r="G7605" i="1"/>
  <c r="G7606" i="1"/>
  <c r="E7607" i="1"/>
  <c r="F7608" i="1"/>
  <c r="G7609" i="1"/>
  <c r="E7610" i="1"/>
  <c r="F7611" i="1"/>
  <c r="G7612" i="1"/>
  <c r="G7613" i="1"/>
  <c r="E7614" i="1"/>
  <c r="F7615" i="1"/>
  <c r="G7616" i="1"/>
  <c r="G7617" i="1"/>
  <c r="G7618" i="1"/>
  <c r="G7619" i="1"/>
  <c r="B7620" i="1"/>
  <c r="C7621" i="1"/>
  <c r="D7622" i="1"/>
  <c r="E7623" i="1"/>
  <c r="F7624" i="1"/>
  <c r="G7625" i="1"/>
  <c r="C7626" i="1"/>
  <c r="D7627" i="1"/>
  <c r="E7628" i="1"/>
  <c r="F7629" i="1"/>
  <c r="G7630" i="1"/>
  <c r="G7631" i="1"/>
  <c r="E7632" i="1"/>
  <c r="F7633" i="1"/>
  <c r="G7634" i="1"/>
  <c r="G7635" i="1"/>
  <c r="E7636" i="1"/>
  <c r="F7637" i="1"/>
  <c r="G7638" i="1"/>
  <c r="G7639" i="1"/>
  <c r="C7640" i="1"/>
  <c r="D7641" i="1"/>
  <c r="E7642" i="1"/>
  <c r="F7643" i="1"/>
  <c r="G7644" i="1"/>
  <c r="E7645" i="1"/>
  <c r="F7646" i="1"/>
  <c r="G7647" i="1"/>
  <c r="E7648" i="1"/>
  <c r="F7649" i="1"/>
  <c r="G7650" i="1"/>
  <c r="C7651" i="1"/>
  <c r="D7652" i="1"/>
  <c r="E7653" i="1"/>
  <c r="F7654" i="1"/>
  <c r="G7655" i="1"/>
  <c r="E7656" i="1"/>
  <c r="F7657" i="1"/>
  <c r="G7658" i="1"/>
  <c r="E7659" i="1"/>
  <c r="F7660" i="1"/>
  <c r="G7661" i="1"/>
  <c r="B7662" i="1"/>
  <c r="C7663" i="1"/>
  <c r="D7664" i="1"/>
  <c r="E7665" i="1"/>
  <c r="F7666" i="1"/>
  <c r="G7667" i="1"/>
  <c r="G7668" i="1"/>
  <c r="E7669" i="1"/>
  <c r="F7670" i="1"/>
  <c r="G7671" i="1"/>
  <c r="G7672" i="1"/>
  <c r="G7673" i="1"/>
  <c r="C7674" i="1"/>
  <c r="D7675" i="1"/>
  <c r="E7676" i="1"/>
  <c r="F7677" i="1"/>
  <c r="G7678" i="1"/>
  <c r="G7679" i="1"/>
  <c r="G7680" i="1"/>
  <c r="E7681" i="1"/>
  <c r="F7682" i="1"/>
  <c r="G7683" i="1"/>
  <c r="G7684" i="1"/>
  <c r="G7685" i="1"/>
  <c r="G7686" i="1"/>
  <c r="B7688" i="1"/>
  <c r="C7689" i="1"/>
  <c r="D7690" i="1"/>
  <c r="E7691" i="1"/>
  <c r="F7692" i="1"/>
  <c r="G7693" i="1"/>
  <c r="G7694" i="1"/>
  <c r="G7695" i="1"/>
  <c r="F7696" i="1"/>
  <c r="G7697" i="1"/>
  <c r="E7698" i="1"/>
  <c r="F7699" i="1"/>
  <c r="G7700" i="1"/>
  <c r="F7701" i="1"/>
  <c r="G7702" i="1"/>
  <c r="G7703" i="1"/>
  <c r="G7704" i="1"/>
  <c r="B7705" i="1"/>
  <c r="C7706" i="1"/>
  <c r="D7707" i="1"/>
  <c r="E7708" i="1"/>
  <c r="F7709" i="1"/>
  <c r="G7710" i="1"/>
  <c r="E7711" i="1"/>
  <c r="F7712" i="1"/>
  <c r="G7713" i="1"/>
  <c r="D7714" i="1"/>
  <c r="E7715" i="1"/>
  <c r="F7716" i="1"/>
  <c r="G7717" i="1"/>
  <c r="G7718" i="1"/>
  <c r="G7719" i="1"/>
  <c r="E7720" i="1"/>
  <c r="F7721" i="1"/>
  <c r="G7722" i="1"/>
  <c r="D7723" i="1"/>
  <c r="E7724" i="1"/>
  <c r="F7725" i="1"/>
  <c r="G7726" i="1"/>
  <c r="E7727" i="1"/>
  <c r="F7728" i="1"/>
  <c r="G7729" i="1"/>
  <c r="B7730" i="1"/>
  <c r="C7731" i="1"/>
  <c r="D7732" i="1"/>
  <c r="E7733" i="1"/>
  <c r="F7734" i="1"/>
  <c r="G7735" i="1"/>
  <c r="G7736" i="1"/>
  <c r="G7737" i="1"/>
  <c r="E7738" i="1"/>
  <c r="F7739" i="1"/>
  <c r="G7740" i="1"/>
  <c r="G7741" i="1"/>
  <c r="G7742" i="1"/>
  <c r="G7743" i="1"/>
  <c r="F7744" i="1"/>
  <c r="G7745" i="1"/>
  <c r="G7746" i="1"/>
  <c r="B7747" i="1"/>
  <c r="C7748" i="1"/>
  <c r="D7749" i="1"/>
  <c r="E7750" i="1"/>
  <c r="F7751" i="1"/>
  <c r="G7752" i="1"/>
  <c r="E7753" i="1"/>
  <c r="F7754" i="1"/>
  <c r="G7755" i="1"/>
  <c r="D7756" i="1"/>
  <c r="E7757" i="1"/>
  <c r="F7758" i="1"/>
  <c r="G7759" i="1"/>
  <c r="D7760" i="1"/>
  <c r="E7761" i="1"/>
  <c r="F7762" i="1"/>
  <c r="G7763" i="1"/>
  <c r="E7764" i="1"/>
  <c r="F7765" i="1"/>
  <c r="G7766" i="1"/>
  <c r="E7767" i="1"/>
  <c r="F7768" i="1"/>
  <c r="G7769" i="1"/>
  <c r="G7770" i="1"/>
  <c r="G7771" i="1"/>
  <c r="C7772" i="1"/>
  <c r="D7773" i="1"/>
  <c r="E7774" i="1"/>
  <c r="F7775" i="1"/>
  <c r="G7776" i="1"/>
  <c r="D7777" i="1"/>
  <c r="E7778" i="1"/>
  <c r="F7779" i="1"/>
  <c r="G7780" i="1"/>
  <c r="E7781" i="1"/>
  <c r="F7782" i="1"/>
  <c r="G7783" i="1"/>
  <c r="G7784" i="1"/>
  <c r="E7785" i="1"/>
  <c r="F7786" i="1"/>
  <c r="G7787" i="1"/>
  <c r="E7788" i="1"/>
  <c r="F7789" i="1"/>
  <c r="G7790" i="1"/>
  <c r="B7792" i="1"/>
  <c r="C7793" i="1"/>
  <c r="D7794" i="1"/>
  <c r="E7795" i="1"/>
  <c r="F7796" i="1"/>
  <c r="G7797" i="1"/>
  <c r="D7798" i="1"/>
  <c r="E7799" i="1"/>
  <c r="F7800" i="1"/>
  <c r="G7801" i="1"/>
  <c r="C7802" i="1"/>
  <c r="D7803" i="1"/>
  <c r="E7804" i="1"/>
  <c r="F7805" i="1"/>
  <c r="G7806" i="1"/>
  <c r="C7807" i="1"/>
  <c r="D7808" i="1"/>
  <c r="E7809" i="1"/>
  <c r="F7810" i="1"/>
  <c r="G7811" i="1"/>
  <c r="D7812" i="1"/>
  <c r="E7813" i="1"/>
  <c r="F7814" i="1"/>
  <c r="G7815" i="1"/>
  <c r="D7816" i="1"/>
  <c r="E7817" i="1"/>
  <c r="F7818" i="1"/>
  <c r="G7819" i="1"/>
  <c r="G7820" i="1"/>
  <c r="G7821" i="1"/>
  <c r="E7822" i="1"/>
  <c r="F7823" i="1"/>
  <c r="G7824" i="1"/>
  <c r="E7825" i="1"/>
  <c r="F7826" i="1"/>
  <c r="G7827" i="1"/>
  <c r="E7828" i="1"/>
  <c r="F7829" i="1"/>
  <c r="G7830" i="1"/>
  <c r="E7831" i="1"/>
  <c r="F7832" i="1"/>
  <c r="G7833" i="1"/>
  <c r="G7834" i="1"/>
  <c r="G7835" i="1"/>
  <c r="F7836" i="1"/>
  <c r="G7837" i="1"/>
  <c r="B7838" i="1"/>
  <c r="C7839" i="1"/>
  <c r="D7840" i="1"/>
  <c r="E7841" i="1"/>
  <c r="F7842" i="1"/>
  <c r="G7843" i="1"/>
  <c r="D7844" i="1"/>
  <c r="E7845" i="1"/>
  <c r="F7846" i="1"/>
  <c r="G7847" i="1"/>
  <c r="C7848" i="1"/>
  <c r="D7849" i="1"/>
  <c r="E7850" i="1"/>
  <c r="F7851" i="1"/>
  <c r="G7852" i="1"/>
  <c r="D7853" i="1"/>
  <c r="E7854" i="1"/>
  <c r="F7855" i="1"/>
  <c r="G7856" i="1"/>
  <c r="D7857" i="1"/>
  <c r="E7858" i="1"/>
  <c r="F7859" i="1"/>
  <c r="G7860" i="1"/>
  <c r="D7861" i="1"/>
  <c r="E7862" i="1"/>
  <c r="F7863" i="1"/>
  <c r="G7864" i="1"/>
  <c r="D7865" i="1"/>
  <c r="E7866" i="1"/>
  <c r="F7867" i="1"/>
  <c r="G7868" i="1"/>
  <c r="E7869" i="1"/>
  <c r="F7870" i="1"/>
  <c r="G7871" i="1"/>
  <c r="E7872" i="1"/>
  <c r="F7873" i="1"/>
  <c r="G7874" i="1"/>
  <c r="E7875" i="1"/>
  <c r="F7876" i="1"/>
  <c r="G7877" i="1"/>
  <c r="E7878" i="1"/>
  <c r="F7879" i="1"/>
  <c r="G7880" i="1"/>
  <c r="E7881" i="1"/>
  <c r="F7882" i="1"/>
  <c r="G7883" i="1"/>
  <c r="G7884" i="1"/>
  <c r="B7885" i="1"/>
  <c r="C7886" i="1"/>
  <c r="D7887" i="1"/>
  <c r="E7888" i="1"/>
  <c r="F7889" i="1"/>
  <c r="G7890" i="1"/>
  <c r="E7891" i="1"/>
  <c r="F7892" i="1"/>
  <c r="G7893" i="1"/>
  <c r="E7894" i="1"/>
  <c r="F7895" i="1"/>
  <c r="G7896" i="1"/>
  <c r="G7897" i="1"/>
  <c r="F7898" i="1"/>
  <c r="G7899" i="1"/>
  <c r="E7900" i="1"/>
  <c r="F7901" i="1"/>
  <c r="G7902" i="1"/>
  <c r="E7903" i="1"/>
  <c r="F7904" i="1"/>
  <c r="G7905" i="1"/>
  <c r="C7906" i="1"/>
  <c r="D7907" i="1"/>
  <c r="E7908" i="1"/>
  <c r="F7909" i="1"/>
  <c r="G7910" i="1"/>
  <c r="G7911" i="1"/>
  <c r="G7912" i="1"/>
  <c r="E7913" i="1"/>
  <c r="F7914" i="1"/>
  <c r="G7915" i="1"/>
  <c r="E7916" i="1"/>
  <c r="F7917" i="1"/>
  <c r="G7918" i="1"/>
  <c r="C7919" i="1"/>
  <c r="D7920" i="1"/>
  <c r="E7921" i="1"/>
  <c r="F7922" i="1"/>
  <c r="G7923" i="1"/>
  <c r="G7924" i="1"/>
  <c r="E7925" i="1"/>
  <c r="F7926" i="1"/>
  <c r="G7927" i="1"/>
  <c r="E7928" i="1"/>
  <c r="F7929" i="1"/>
  <c r="G7930" i="1"/>
  <c r="E7931" i="1"/>
  <c r="F7932" i="1"/>
  <c r="G7933" i="1"/>
  <c r="E7934" i="1"/>
  <c r="F7935" i="1"/>
  <c r="G7936" i="1"/>
  <c r="E7937" i="1"/>
  <c r="F7938" i="1"/>
  <c r="G7939" i="1"/>
  <c r="B7941" i="1"/>
  <c r="C7942" i="1"/>
  <c r="D7943" i="1"/>
  <c r="E7944" i="1"/>
  <c r="F7945" i="1"/>
  <c r="G7946" i="1"/>
  <c r="B7947" i="1"/>
  <c r="C7948" i="1"/>
  <c r="D7949" i="1"/>
  <c r="E7950" i="1"/>
  <c r="F7951" i="1"/>
  <c r="G7952" i="1"/>
  <c r="C7953" i="1"/>
  <c r="D7954" i="1"/>
  <c r="E7955" i="1"/>
  <c r="F7956" i="1"/>
  <c r="G7957" i="1"/>
  <c r="B7959" i="1"/>
  <c r="C7960" i="1"/>
  <c r="D7961" i="1"/>
  <c r="E7962" i="1"/>
  <c r="F7963" i="1"/>
  <c r="G7964" i="1"/>
  <c r="E7965" i="1"/>
  <c r="F7966" i="1"/>
  <c r="G7967" i="1"/>
</calcChain>
</file>

<file path=xl/sharedStrings.xml><?xml version="1.0" encoding="utf-8"?>
<sst xmlns="http://schemas.openxmlformats.org/spreadsheetml/2006/main" count="7995" uniqueCount="5745">
  <si>
    <t>หมวดใหญ่</t>
  </si>
  <si>
    <t>หมวดย่อย</t>
  </si>
  <si>
    <t>หมู่ใหญ่</t>
  </si>
  <si>
    <t>หมู่ย่อย</t>
  </si>
  <si>
    <t>ผลิตภัณฑ์</t>
  </si>
  <si>
    <t>รายการ</t>
  </si>
  <si>
    <t>รายการย่อย</t>
  </si>
  <si>
    <t>คำอธิบายไทย</t>
  </si>
  <si>
    <t>A</t>
  </si>
  <si>
    <t>ผลิตภัณฑ์เกษตรกรรม การป่าไม้ และการประมง</t>
  </si>
  <si>
    <t>ผลิตภัณฑ์ทางการเกษตร การล่าสัตว์ และบริการที่เกี่ยวข้อง</t>
  </si>
  <si>
    <t>พืชล้มลุก</t>
  </si>
  <si>
    <t>ธัญพืช (ยกเว้นข้าว) พืชตระกูลถั่ว และพืชที่เมล็ดให้น้ำมัน</t>
  </si>
  <si>
    <t>ข้าวโพดที่ใช้เมล็ดแก่</t>
  </si>
  <si>
    <t>ฟางและแกลบของข้าวโพดเมล็ดแก่ที่ไม่ได้จัดทำ จะสับ บด อัด หรือทำเป็นพัลเลตหรือไม่ก็ตาม</t>
  </si>
  <si>
    <t>ธัญพืช (ยกเว้นข้าวและข้าวโพด)</t>
  </si>
  <si>
    <t>ข้าวสาลี</t>
  </si>
  <si>
    <t>ข้าวสาลีดูรัม</t>
  </si>
  <si>
    <t>ข้าวสาลีอื่นๆ (ยกเว้นชนิดดูรัม)</t>
  </si>
  <si>
    <t>ข้าวบาร์เลย์ ข้าวไรย์ และข้าวโอต</t>
  </si>
  <si>
    <t>ข้าวบาร์เลย์</t>
  </si>
  <si>
    <t>ข้าวไรย์</t>
  </si>
  <si>
    <t>ข้าวโอ๊ต</t>
  </si>
  <si>
    <t>ธัญพืชอื่นๆ</t>
  </si>
  <si>
    <t>ข้าวซอร์กัม</t>
  </si>
  <si>
    <t>ข้าวฟ่างนกเขา</t>
  </si>
  <si>
    <t>ธัญพืชอื่นๆ ซึ่งมิได้จัดประเภทไว้ในที่อื่น เช่น บักก์วีต ข้าวนก ลูกเดือยทั้งเปลือก เป็นต้น</t>
  </si>
  <si>
    <t>ฟางและแกลบของธัญพืช (ยกเว้นข้าวและข้าวโพด) ที่ไม่ได้จัดทำ จะสับ บด อัด หรือเป็นพัลเลตหรือไม่ก็ตาม</t>
  </si>
  <si>
    <t>พืชตระกูลถั่ว</t>
  </si>
  <si>
    <t>พืชผักตระกูลถั่วชนิดสด</t>
  </si>
  <si>
    <t>ถั่วบีนชนิดสด</t>
  </si>
  <si>
    <t>ถั่วลันเตาชนิดสด</t>
  </si>
  <si>
    <t>พืชผักตระกูลถั่วอื่นๆ ชนิดสด</t>
  </si>
  <si>
    <t>พืชผักตระกูลถั่วชนิดแห้ง</t>
  </si>
  <si>
    <t>ถั่วบีนชนิดแห้ง (เช่น ถั่วเขียว ถั่วทอง ถั่วแดงถั่วขาว ถั่วดำ เป็นต้น)</t>
  </si>
  <si>
    <t>บรอดบีนชนิดแห้ง</t>
  </si>
  <si>
    <t>ถั่วมะแฮะชนิดแห้ง</t>
  </si>
  <si>
    <t>ถั่วแขกชนิดแห้ง</t>
  </si>
  <si>
    <t>ถั่วลันเตาชนิดแห้ง</t>
  </si>
  <si>
    <t>พืชผักตระกูลถั่วอื่นๆ ชนิดแห้ง</t>
  </si>
  <si>
    <t>ถั่วเหลือง</t>
  </si>
  <si>
    <t>พืชที่เมล็ดให้น้ำมัน (ยกเว้นถั่วเหลือง)</t>
  </si>
  <si>
    <t>ถั่วลิสง</t>
  </si>
  <si>
    <t>ถั่วลิสง ทั้งเปลือก</t>
  </si>
  <si>
    <t>ถั่วลิสง เอาเปลือกออก จะทำให้แตกหรือไม่ก็ตาม</t>
  </si>
  <si>
    <t>เมล็ดฝ้าย</t>
  </si>
  <si>
    <t>พืชที่เมล็ดให้น้ำมันอื่นๆ (ยกเว้นถั่วเหลือง)</t>
  </si>
  <si>
    <t>ลินสีด</t>
  </si>
  <si>
    <t>เมล็ดมัสตาร์ด</t>
  </si>
  <si>
    <t>เมล็ดเรปหรือเมล็ดโคลซา</t>
  </si>
  <si>
    <t>เมล็ดงา</t>
  </si>
  <si>
    <t>เมล็ดดอกทานตะวัน</t>
  </si>
  <si>
    <t>เมล็ดดอกคำฝอย</t>
  </si>
  <si>
    <t>พืชที่เมล็ดให้น้ำมันอื่นๆ (ยกเว้นถั่วเหลือง) ซึ่งมิได้จัดประเภทไว้ในที่อื่น เช่น เมล็ดฝิ่น เป็นต้น</t>
  </si>
  <si>
    <t>ข้าวเปลือก</t>
  </si>
  <si>
    <t>ข้าวเปลือกจ้าว</t>
  </si>
  <si>
    <t>ฟางและแกลบของข้าวจ้าว ที่ไม่ได้จัดทำ จะสับ บด อัด หรือทำเป็น พัลเลตหรือไม่ก็ตาม</t>
  </si>
  <si>
    <t>ข้าวเปลือกเหนียว</t>
  </si>
  <si>
    <t>ฟางและแกลบของข้าวเหนียว ที่ไม่ได้จัดทำ จะสับ บด อัด หรือทำเป็นพัลเลตหรือไม่ก็ตาม</t>
  </si>
  <si>
    <t>พืชผัก แตง และพืชหัว</t>
  </si>
  <si>
    <t>พืชผักกินใบและพืชผักกินต้น</t>
  </si>
  <si>
    <t>หน่อไม้ฝรั่ง</t>
  </si>
  <si>
    <t>กะหล่ำปลี</t>
  </si>
  <si>
    <t>กะหลํ่าดอกและบรอกโคลี</t>
  </si>
  <si>
    <t>ผักกาดหอม</t>
  </si>
  <si>
    <t>ชิโครี่</t>
  </si>
  <si>
    <t>สปิแนช/ผักขม</t>
  </si>
  <si>
    <t>อาร์ติโชก</t>
  </si>
  <si>
    <t>พืชผักกินใบและพืชผักกินต้นอื่นๆ</t>
  </si>
  <si>
    <t>เมล็ดพืชผักกินใบและพืชผักกินต้น</t>
  </si>
  <si>
    <t>พืชผักกินผล รวมถึงแตงชนิดต่างๆ</t>
  </si>
  <si>
    <t>แตง</t>
  </si>
  <si>
    <t>แตงโม</t>
  </si>
  <si>
    <t>แตงแคนตาลูพและแตงชนิดอื่นๆ</t>
  </si>
  <si>
    <t>พืชผักกินผล</t>
  </si>
  <si>
    <t>แตงร้านและแตงกวา</t>
  </si>
  <si>
    <t>มะเขือม่วง</t>
  </si>
  <si>
    <t>มะเขือเทศ</t>
  </si>
  <si>
    <t>ฟักทอง</t>
  </si>
  <si>
    <t xml:space="preserve">พืชผักกินผลอื่นๆ </t>
  </si>
  <si>
    <t>เมล็ดพืชผักกินผล รวมถึงเมล็ดแตง</t>
  </si>
  <si>
    <t>พืชผักกินรากและหัวใต้ดิน</t>
  </si>
  <si>
    <t>แคร์รอตและเทอร์นิป</t>
  </si>
  <si>
    <t>กระเทียม</t>
  </si>
  <si>
    <t>หอมหัวใหญ่</t>
  </si>
  <si>
    <t>พืชผักจำพวกหอมกระเทียมอื่นๆ</t>
  </si>
  <si>
    <t>พืชผักกินรากและหัวใต้ดินอื่นๆ (ยกเว้นที่ให้สตาร์ชและอินนูลินสูง)</t>
  </si>
  <si>
    <t>เมล็ดพืชผักกินรากและหัวใต้ดิน</t>
  </si>
  <si>
    <t>พืชผักจำพวกรากและหัวที่ให้สตาร์ชและอินนูลินสูง (ยกเว้นมันสำปะหลัง)</t>
  </si>
  <si>
    <t>มันฝรั่ง</t>
  </si>
  <si>
    <t>มันเทศ</t>
  </si>
  <si>
    <t xml:space="preserve">พืชผักจำพวกรากและหัวที่ให้สตาร์ชและอินนูลินสูงอื่นๆ (ยกเว้นมันสำปะหลัง) </t>
  </si>
  <si>
    <t>เมล็ดพืชผักจำพวกรากและหัวที่ให้สตาร์ชและอินนูลินสูง (ยกเว้นมันสำปะหลัง)</t>
  </si>
  <si>
    <t>มันสำปะหลัง</t>
  </si>
  <si>
    <t>เห็ด</t>
  </si>
  <si>
    <t>เห็ดชนิดมัชรูมและเห็ดชนิดทรัฟเฟิล</t>
  </si>
  <si>
    <t>พืชผักอื่นๆ</t>
  </si>
  <si>
    <t>ชูการ์บีต</t>
  </si>
  <si>
    <t>พืชผักอื่นๆ ซึ่งมิได้จัดประเภทไว้ในที่อื่น</t>
  </si>
  <si>
    <t>เมล็ดพืชผักอื่นๆ</t>
  </si>
  <si>
    <t>เมล็ดชูการ์บีต</t>
  </si>
  <si>
    <t>เมล็ดพืชผักอื่นๆ ซึ่งมิได้จัดประเภทไว้ในที่อื่น</t>
  </si>
  <si>
    <t>อ้อย</t>
  </si>
  <si>
    <t>ยาสูบ</t>
  </si>
  <si>
    <t>ยาสูบที่ยังไม่เป็นผลิตภัณฑ์สำเร็จรูป</t>
  </si>
  <si>
    <t>พืชเส้นใย</t>
  </si>
  <si>
    <t>ฝ้าย</t>
  </si>
  <si>
    <t>ฝ้าย จะหีบหรือไม่ก็ตาม</t>
  </si>
  <si>
    <t>พืชเส้นใยอื่นๆ</t>
  </si>
  <si>
    <t>ปอกระเจา ปอแก้ว และเส้นใยสิ่งทอจากเปลือกในของต้นไม้อื่นๆ ดิบหรือผ่านกรรมวิธีเรตติ้ง (ยกเว้น ป่านลินิน ป่านแท้ และป่านรามี)</t>
  </si>
  <si>
    <t>พืชเส้นใยอื่นๆ ซึ่งมิได้จัดประเภทไว้ในที่อื่น ดิบหรือผ่านกรรมวิธีเรตติ้ง</t>
  </si>
  <si>
    <t>พืชล้มลุกชนิดอื่นๆ</t>
  </si>
  <si>
    <t>ข้าวโพดเลี้ยงสัตว์</t>
  </si>
  <si>
    <t>ฟางและแกลบของข้าวโพดเลี้ยงสัตว์ ที่ไม่ได้จัดทำ จะสับ บด อัด หรือทำเป็นพัลเลตหรือไม่ก็ตาม</t>
  </si>
  <si>
    <t>พืชล้มลุกที่ใช้เป็นอาหารสัตว์ (ยกเว้นข้าวโพดเลี้ยงสัตว์)</t>
  </si>
  <si>
    <t>แอลฟาลฟาที่ใช้เป็นอาหารสัตว์</t>
  </si>
  <si>
    <t>พืชล้มลุกที่ใช้เป็นอาหารสัตว์ (ยกเว้นข้าวโพดเลี้ยงสัตว์) ซึ่งมิได้จัดประเภทไว้ในที่อื่น</t>
  </si>
  <si>
    <t>ฟางและแกลบของพืชล้มลุกที่ใช้เป็นอาหารสัตว์ (ยกเว้นข้าวโพดเลี้ยงสัตว์) ที่ไม่ได้จัดทำ จะสับ บด อัด หรือทำเป็นพัลเลตหรือไม่ก็ตาม</t>
  </si>
  <si>
    <t>กล้วยไม้</t>
  </si>
  <si>
    <t>เมล็ดกล้วยไม้</t>
  </si>
  <si>
    <t>ไม้ดอกอื่นๆ (ยกเว้นกล้วยไม้)</t>
  </si>
  <si>
    <t>ไม้ดอกอื่นๆ (ยกเว้นกล้วยไม้) เช่น กุหลาบคาร์เนชั่น เบญจมาศ เป็นต้น</t>
  </si>
  <si>
    <t>เมล็ดไม้ดอกอื่นๆ (ยกเว้นกล้วยไม้)</t>
  </si>
  <si>
    <t>พืชล้มลุกชนิดอื่นๆ ซึ่งมิได้จัดประเภทไว้ในที่อื่น</t>
  </si>
  <si>
    <t>เมล็ดบีต (ยกเว้นเมล็ดชูการ์บีต) และเมล็ดของพืชอื่นๆ ที่ใช้เป็นอาหารสัตว์ เช่น เมล็ดหญ้าลูเซอร์น (หญ้าแอลฟาลฟา) เมล็ดโคลเวอร์ เมล็ดเฟสคิว เมล็ดหญ้าเคนตักกีบลู เมล็ดหญ้าไรย์ เป็นต้น</t>
  </si>
  <si>
    <t>พืชยืนต้น</t>
  </si>
  <si>
    <t>องุ่น</t>
  </si>
  <si>
    <t>ไม้ผลเมืองร้อนและกึ่งร้อน</t>
  </si>
  <si>
    <t>สับปะรด</t>
  </si>
  <si>
    <t>ทุเรียน</t>
  </si>
  <si>
    <t>ลำไย</t>
  </si>
  <si>
    <t>มะม่วง</t>
  </si>
  <si>
    <t>กล้วย</t>
  </si>
  <si>
    <t>มังคุด</t>
  </si>
  <si>
    <t>เงาะ</t>
  </si>
  <si>
    <t>ลิ้นจี่</t>
  </si>
  <si>
    <t>ไม้ผลเมืองร้อนและกึ่งร้อนอื่นๆ</t>
  </si>
  <si>
    <t>อโวกาโด</t>
  </si>
  <si>
    <t>อินทผลัม</t>
  </si>
  <si>
    <t>มะเดื่อ</t>
  </si>
  <si>
    <t>มะละกอ</t>
  </si>
  <si>
    <t>ไม้ผลเมืองร้อนและกึ่งร้อนอื่นๆ ซึ่งมิได้จัดประเภทไว้ในที่อื่น</t>
  </si>
  <si>
    <t>ไม้ผลตระกูลส้ม</t>
  </si>
  <si>
    <t>ส้ม</t>
  </si>
  <si>
    <t>ส้มเกลี้ยงและส้มเช้ง (oranges)</t>
  </si>
  <si>
    <t>ส้มเขียวหวาน ส้มสายน้ำผึ้ง ส้มแมนดาริน ส้มจุก ส้มคลีเมนทีน ส้มฟรีมองต์ และส้มที่คล้ายกัน</t>
  </si>
  <si>
    <t>ไม้ผลตระกูลส้มอื่นๆ</t>
  </si>
  <si>
    <t>ส้มโอและเกรปฟรุ้ต</t>
  </si>
  <si>
    <t>มะนาวฝรั่งและมะนาว</t>
  </si>
  <si>
    <t>ไม้ผลตระกูลส้มอื่นๆ ซึ่งมิได้จัดประเภทไว้ในที่อื่น</t>
  </si>
  <si>
    <t>ไม้ผลตระกูลแอปเปิ้ลและไม้ผลชนิดเมล็ดแข็ง</t>
  </si>
  <si>
    <t>ไม้ผลตระกูลแอปเปิ้ล</t>
  </si>
  <si>
    <t>แอปเปิ้ล</t>
  </si>
  <si>
    <t>แพร์</t>
  </si>
  <si>
    <t>ควินซ์</t>
  </si>
  <si>
    <t>ไม้ผลชนิดเมล็ดแข็งอื่นๆ</t>
  </si>
  <si>
    <t>แอปริคอต</t>
  </si>
  <si>
    <t>เชอร์รี่</t>
  </si>
  <si>
    <t>ท้อ</t>
  </si>
  <si>
    <t>เนกทารีน</t>
  </si>
  <si>
    <t>พลัม</t>
  </si>
  <si>
    <t>สโล</t>
  </si>
  <si>
    <t>ไม้ผลชนิดเมล็ดแข็งอื่นๆ ซึ่งมิได้จัดประเภทไว้ในที่อื่น</t>
  </si>
  <si>
    <t>ไม้ผลยืนต้น ไม้ผลที่มีต้นเป็นพุ่ม และไม้ผลเปลือกแข็งที่กินได้</t>
  </si>
  <si>
    <t>ไม้ผลเปลือกแข็งที่กินได้</t>
  </si>
  <si>
    <t>ผลไม้เปลือกแข็งที่กินได้ จะเอาเปลือกออกหรือไม่ก็ตาม (ยกเว้นไม้ผลเปลือกแข็งที่กินได้จากป่าและถั่วลิสง)</t>
  </si>
  <si>
    <t>เมล็ดอัลมอนด์</t>
  </si>
  <si>
    <t xml:space="preserve">เมล็ดเกาลัด </t>
  </si>
  <si>
    <t>เฮเซลนัตหรือฟิลเบิร์ต (ชนิดโคริลัส)</t>
  </si>
  <si>
    <t xml:space="preserve">พิสตาชิโอ </t>
  </si>
  <si>
    <t xml:space="preserve">เมล็ดมันฮ่อ </t>
  </si>
  <si>
    <t xml:space="preserve">เมล็ดมะม่วงหิมพานต์ </t>
  </si>
  <si>
    <t xml:space="preserve">ผลไม้เปลือกแข็ง (นัท) อื่นๆ </t>
  </si>
  <si>
    <t>ไม้ผลที่มีต้นเป็นพุ่ม</t>
  </si>
  <si>
    <t>กีวีฟรุ้ต</t>
  </si>
  <si>
    <t>ราสพ์เบอร์รี่ แบล็กเบอร์รี่ มัลเบอร์รี่ และโลแกนเบอร์รี่</t>
  </si>
  <si>
    <t>สตรอเบอร์รี่</t>
  </si>
  <si>
    <t>ไม้ผลที่มีต้นเป็นพุ่มอื่นๆ</t>
  </si>
  <si>
    <t>ไม้ผลยืนต้นอื่นๆ</t>
  </si>
  <si>
    <t>โลคัสต์บีน</t>
  </si>
  <si>
    <t>ไม้ผลยืนต้นอื่นๆ ซึ่งมิได้จัดประเภทไว้ในที่อื่น</t>
  </si>
  <si>
    <t>เมล็ดไม้ผล</t>
  </si>
  <si>
    <t>ไม้ยืนต้นที่ให้น้ำมัน</t>
  </si>
  <si>
    <t>ปาล์มน้ำมัน</t>
  </si>
  <si>
    <t xml:space="preserve">เมล็ดปาล์มและเนื้อในเมล็ดปาล์ม </t>
  </si>
  <si>
    <t>มะพร้าว</t>
  </si>
  <si>
    <t>มะพร้าวสดหรือแห้งจะเอาเปลือกออกหรือไม่ก็ตาม</t>
  </si>
  <si>
    <t>ไม้ยืนต้นอื่นๆ ที่ให้น้ำมัน</t>
  </si>
  <si>
    <t>ผลมะกอก</t>
  </si>
  <si>
    <t>ไม้ยืนต้นอื่นๆ ที่ให้น้ำมัน  ซึ่งมิได้จัดประเภทไว้ในที่อื่น</t>
  </si>
  <si>
    <t>พืชที่นำไปทำเครื่องดื่ม</t>
  </si>
  <si>
    <t>ชา</t>
  </si>
  <si>
    <t>ชา เช่น ชาเขียวอื่นๆ (ไม่หมัก) ชาดำอื่นๆ (หมักแล้ว) และชาอื่นๆ ที่หมักบ้างแล้วเป็นต้น</t>
  </si>
  <si>
    <t>ชามาเต้</t>
  </si>
  <si>
    <t>กาแฟ</t>
  </si>
  <si>
    <t>กาแฟที่ไม่ได้คั่วและไม่ได้แยกเอากาเฟอีนออก</t>
  </si>
  <si>
    <t>พืชอื่นๆ ที่นำไปทำเครื่องดื่ม</t>
  </si>
  <si>
    <t>เมล็ดโกโก้ทั้งเมล็ดหรือที่แตก ดิบหรือคั่ว</t>
  </si>
  <si>
    <t>พืชอื่นๆ ที่นำไปทำเครื่องดื่ม ซึ่งมิได้จัดประเภทไว้ในที่อื่น</t>
  </si>
  <si>
    <t>พืชที่นำไปทำเครื่องเทศ เครื่องหอม ยารักษาโรค และพืชทางเภสัชภัณฑ์</t>
  </si>
  <si>
    <t>พริก</t>
  </si>
  <si>
    <t xml:space="preserve">พริก	</t>
  </si>
  <si>
    <t>พริกในตระกูลแคปซิกัมหรือตระกูลพิเมนตาสด</t>
  </si>
  <si>
    <t>พริกในตระกูลแคปซิกัมหรือตระกูลพิเมนตาดิบและแห้ง</t>
  </si>
  <si>
    <t>พริกไทย</t>
  </si>
  <si>
    <t>พริกไทยและพริกในตระกูลไปเปอร์ดิบ</t>
  </si>
  <si>
    <t>พืชอื่นๆ ที่นำไปทำเครื่องเทศ เครื่องหอม ยารักษาโรค และพืชทางเภสัชภัณฑ์</t>
  </si>
  <si>
    <t>พืชอื่นๆ ที่นำไปทำเครื่องเทศ</t>
  </si>
  <si>
    <t>ลูกจันทน์เทศ ดอกจันทน์เทศ และกระวานดิบ</t>
  </si>
  <si>
    <t>เมล็ดยี่หร่า เมล็ดโป๊ยกั๊ก เมล็ดเทียนข้าวเปลือก เมล็ดเทียนขาว เมล็ดผักชี หรือเมล็ดคาราเวย์ และจูนิเปอร์เบอร์รี่ดิบ</t>
  </si>
  <si>
    <t>อบเชยและดอกอบเชยดิบ</t>
  </si>
  <si>
    <t>กานพูลดิบ (ก้านดอก)</t>
  </si>
  <si>
    <t xml:space="preserve">ขิงดิบ </t>
  </si>
  <si>
    <t xml:space="preserve">วานิลาดิบ </t>
  </si>
  <si>
    <t>ดอกฮ้อป</t>
  </si>
  <si>
    <t>พืชอื่นๆ ที่นำไปทำเครื่องเทศ ซึ่งมิได้จัดประเภทไว้ในที่อื่น</t>
  </si>
  <si>
    <t>พรรณไม้และส่วนของพรรณไม้ สดหรือแห้ง (รวมถึงเมล็ดและผล) ชนิดที่ใช้ประโยชน์หลักในการทำเครื่องหอม ในทางเภสัชกรรม หรือสำหรับฆ่าแมลง ฆ่ารา หรือวัตถุประสงค์ที่คล้ายกัน</t>
  </si>
  <si>
    <t>พืชยืนต้นประเภทอื่นๆ</t>
  </si>
  <si>
    <t>ต้นยางพารา</t>
  </si>
  <si>
    <t>นํ้ายางธรรมชาติ รวมถึงยางแผ่นรมควัน ยางแผ่นผึ่งแห้ง ยางก้อนจับตัว ยางก้นถ้วย ที่ดำเนินการในแหล่งเดียวกัน</t>
  </si>
  <si>
    <t>พืชที่ใช้ในการถักสาน</t>
  </si>
  <si>
    <t>พืชที่ใช้ในการถักสาน เช่น ไม้ไผ่ หวาย อ้อ กก เป็นต้น</t>
  </si>
  <si>
    <t>พืชยืนต้นประเภทอื่นๆ ซึ่งมิได้จัดประเภทไว้ในที่อื่น</t>
  </si>
  <si>
    <t>ต้นสนและต้นสนที่ใช้ประดับในงานคริสต์มาส</t>
  </si>
  <si>
    <t>ไม้ประดับและการขยายพันธุ์พืช</t>
  </si>
  <si>
    <t>ไม้ประดับ</t>
  </si>
  <si>
    <t>บริการขยายพันธุ์พืช</t>
  </si>
  <si>
    <t>หัว หน่อ แขนง เหง้า ตุ่มตา และแง่งที่ยังไม่งอก ที่งอก หรือมีดอก ต้นและรากชิโครี่</t>
  </si>
  <si>
    <t>พืชมีชีวิตอื่นๆ (รวมถึงราก) กิ่งชำ กิ่งตอน และส่าเห็ด เช่น ไม้ต้น ไม้พุ่ม และไม้กอ ชนิดที่ให้ผลไม้หรือผลไม้เปลือกแข็ง (นัท) ที่บริโภคได้ จะติดตาหรือต่อกิ่งหรือไม่ก็ตาม ต้นโรโดเดนดรอนและอะเซเลียจะติดตาหรือต่อกิ่งหรือไม่ก็ตาม กุหลาบ ต้นกล้ากล้วยไม้ พืชน้ำ ต้นกล้าไม้ยางพารา เป็นต้น</t>
  </si>
  <si>
    <t>สัตว์</t>
  </si>
  <si>
    <t>โคและกระบือ</t>
  </si>
  <si>
    <t>โคนมและโคเนื้อ</t>
  </si>
  <si>
    <t>โคนมและโคเนื้อ มีชีวิต</t>
  </si>
  <si>
    <t>โคนม มีชีวิต</t>
  </si>
  <si>
    <t>โคเนื้อ มีชีวิต</t>
  </si>
  <si>
    <t>ลูกโค มีชีวิต</t>
  </si>
  <si>
    <t>ผลพลอยได้จากการเลี้ยงโคนมและโคเนื้อ</t>
  </si>
  <si>
    <t>น้ำนมดิบที่ได้จากการเลี้ยงโคนม</t>
  </si>
  <si>
    <t>น้ำเชื้อของโคนมและโคเนื้อ</t>
  </si>
  <si>
    <t>ตัวอ่อนของโคนมและโคเนื้อ</t>
  </si>
  <si>
    <t>ขนละเอียดของโคนมและโคเนื้อ ไม่ได้สางหรือหวี</t>
  </si>
  <si>
    <t>ของเสียของโคนมและโคเนื้อที่ใช้สำหรับทำปุ๋ยคอกและเชื้อเพลิง</t>
  </si>
  <si>
    <t>กระบือนมและกระบือเนื้อ</t>
  </si>
  <si>
    <t>กระบือนมและกระบือเนื้อ มีชีวิต</t>
  </si>
  <si>
    <t>กระบือนม มีชีวิต</t>
  </si>
  <si>
    <t>กระบือเนื้อ มีชีวิต</t>
  </si>
  <si>
    <t>ลูกกระบือ มีชีวิต</t>
  </si>
  <si>
    <t>ผลพลอยได้จากการเลี้ยงกระบือนมและกระบือเนื้อ</t>
  </si>
  <si>
    <t>น้ำนมดิบที่ได้จากการเลี้ยงกระบือนม</t>
  </si>
  <si>
    <t>น้ำเชื้อของกระบือนมและกระบือเนื้อ</t>
  </si>
  <si>
    <t>ตัวอ่อนของกระบือนมและกระบือเนื้อ</t>
  </si>
  <si>
    <t>ขนละเอียดของกระบือนมและกระบือเนื้อ ไม่ได้สางหรือหวี</t>
  </si>
  <si>
    <t>ของเสียของกระบือนมและกระบือเนื้อ ที่ใช้สำหรับทำปุ๋ยคอกและเชื้อเพลิง</t>
  </si>
  <si>
    <t>โคและกระบือเพื่อวัตถุประสงค์อื่นๆ</t>
  </si>
  <si>
    <t>โคและกระบือเพื่อวัตถุประสงค์อื่นๆ มีชีวิต</t>
  </si>
  <si>
    <t>โคเพื่อวัตถุประสงค์อื่นๆ มีชีวิต</t>
  </si>
  <si>
    <t>กระบือเพื่อวัตถุประสงค์อื่นๆ มีชีวิต</t>
  </si>
  <si>
    <t>ลูกโคและกระบือเพื่อวัตถุประสงค์อื่นๆ มีชีวิต</t>
  </si>
  <si>
    <t>ผลพลอยได้จากการเลี้ยงโคและกระบือเพื่อวัตถุประสงค์อื่นๆ</t>
  </si>
  <si>
    <t>น้ำเชื้อของโคและกระบือเพื่อวัตถุประสงค์อื่นๆ</t>
  </si>
  <si>
    <t>ตัวอ่อนของโคและกระบือเพื่อวัตถุประสงค์อื่นๆ</t>
  </si>
  <si>
    <t>ขนละเอียดของโคและกระบือเพื่อวัตถุประสงค์อื่นๆ ไม่ได้สางหรือหวี</t>
  </si>
  <si>
    <t>ของเสียของโคและกระบือเพื่อวัตถุประสงค์อื่นๆ ที่ใช้สำหรับทำปุ๋ยคอกและเชื้อเพลิง</t>
  </si>
  <si>
    <t>ม้า ลา ล่อ ม้าล่อ และสัตว์อื่นๆ ที่คล้ายกัน</t>
  </si>
  <si>
    <t>ม้า ลา ล่อ ม้าล่อ และสัตว์อื่นๆ ที่คล้ายกัน มีชีวิต</t>
  </si>
  <si>
    <t>ผลพลอยได้จากการเลี้ยงม้า ลา ล่อ ม้าล่อ และสัตว์อื่นๆ ที่คล้ายกัน</t>
  </si>
  <si>
    <t>น้ำนมดิบที่ได้จากการเลี้ยงม้า ลา ล่อ ม้าล่อ และสัตว์อื่นๆ ที่คล้ายกัน</t>
  </si>
  <si>
    <t>น้ำเชื้อของม้า ลา ล่อ ม้าล่อ และสัตว์อื่นๆ ที่คล้ายกัน</t>
  </si>
  <si>
    <t>ตัวอ่อนของม้า ลา ล่อ ม้าล่อ และสัตว์อื่นๆ ที่คล้ายกัน</t>
  </si>
  <si>
    <t>ของเสียของม้า ลา ล่อ ม้าล่อ และสัตว์อื่นๆ ที่คล้ายกันที่ใช้สำหรับทำปุ๋ยคอกและเชื้อเพลิง</t>
  </si>
  <si>
    <t>อูฐ</t>
  </si>
  <si>
    <t>อูฐ มีชีวิต</t>
  </si>
  <si>
    <t>ผลพลอยได้จากการเลี้ยงอูฐ</t>
  </si>
  <si>
    <t>น้ำนมดิบที่ได้จากการเลี้ยงอูฐ</t>
  </si>
  <si>
    <t>น้ำเชื้อของอูฐ</t>
  </si>
  <si>
    <t>ขนละเอียดของอูฐไม่ได้สางหรือหวี</t>
  </si>
  <si>
    <t>ของเสียของอูฐที่ใช้สำหรับทำปุ๋ยคอกและเชื้อเพลิง</t>
  </si>
  <si>
    <t>แกะและแพะ</t>
  </si>
  <si>
    <t>แกะ</t>
  </si>
  <si>
    <t>แกะ มีชีวิต</t>
  </si>
  <si>
    <t>ผลพลอยได้จากการเลี้ยงแกะ</t>
  </si>
  <si>
    <t>น้ำนมดิบที่ได้จากการเลี้ยงแกะ</t>
  </si>
  <si>
    <t>น้ำเชื้อของแกะ</t>
  </si>
  <si>
    <t>ขนแกะ ที่ได้จากการตัด ไม่ได้สางหรือหวี ยังมีไข รวมถึงขนแกะที่ล้างแบบฟลีซวอช</t>
  </si>
  <si>
    <t>ขนละเอียดของแกะ ไม่ได้สางหรือหวี</t>
  </si>
  <si>
    <t>ของเสียของแกะที่ใช้สำหรับทำปุ๋ยคอกและเชื้อเพลิง</t>
  </si>
  <si>
    <t>แพะ</t>
  </si>
  <si>
    <t>แพะ มีชีวิต</t>
  </si>
  <si>
    <t>ผลพลอยได้จากการเลี้ยงแพะ</t>
  </si>
  <si>
    <t>น้ำนมดิบที่ได้จากการเลี้ยงแพะ</t>
  </si>
  <si>
    <t>น้ำเชื้อของแพะ</t>
  </si>
  <si>
    <t>ขนละเอียดของแพะแคชเมียร์ ที่ได้จากการตัด ไม่ได้สางหรือหวี</t>
  </si>
  <si>
    <t>ของเสียของแพะที่ใช้สำหรับทำปุ๋ยคอกและเชื้อเพลิง</t>
  </si>
  <si>
    <t>สุกร</t>
  </si>
  <si>
    <t>สุกร มีชิวิต</t>
  </si>
  <si>
    <t>ผลพลอยได้ที่ได้จากการเลี้ยงสุกร</t>
  </si>
  <si>
    <t>น้ำเชื้อของสุกร</t>
  </si>
  <si>
    <t>ของเสียของสุกรที่ใช้สำหรับทำปุ๋ยคอกและเชื้อเพลิง</t>
  </si>
  <si>
    <t>สัตว์ปีก</t>
  </si>
  <si>
    <t>ไก่ไข่</t>
  </si>
  <si>
    <t>ไก่ไข่ มีชีวิต</t>
  </si>
  <si>
    <t>ผลพลอยได้ที่ได้จากการเลี้ยงไก่ไข่</t>
  </si>
  <si>
    <t>ไข่ไก่ทั้งเปลือกสด</t>
  </si>
  <si>
    <t>ของเสียของไก่ไข่ที่ใช้สำหรับทำปุ๋ยคอกและเชื้อเพลิง</t>
  </si>
  <si>
    <t>ไก่เนื้อ</t>
  </si>
  <si>
    <t>ไก่เนื้อ มีชีวิต</t>
  </si>
  <si>
    <t>ของเสียของไก่เนื้อที่ใช้สำหรับทำปุ๋ยคอกและเชื้อเพลิง</t>
  </si>
  <si>
    <t>เป็ด</t>
  </si>
  <si>
    <t>เป็ดมีชีวิต</t>
  </si>
  <si>
    <t>ผลพลอยได้ที่ได้จากการเลี้ยงเป็ด</t>
  </si>
  <si>
    <t>ไข่เป็ด ทั้งเปลือกสด</t>
  </si>
  <si>
    <t>ของเสียของเป็ดที่ใช้สำหรับทำปุ๋ยคอกและเชื้อเพลิง</t>
  </si>
  <si>
    <t>สัตว์ปีกอื่นๆ</t>
  </si>
  <si>
    <t>สัตว์ปีกอื่นๆ มีชีวิต</t>
  </si>
  <si>
    <t>ไก่งวง มีชีวิต</t>
  </si>
  <si>
    <t>ห่าน มีชีวิต</t>
  </si>
  <si>
    <t>ไก่ต๊อกและสัตว์ปีกอื่นๆ มีชีวิต</t>
  </si>
  <si>
    <t>ผลพลอยได้ที่ได้จากการเลี้ยงสัตว์ปีกอื่นๆ</t>
  </si>
  <si>
    <t>ไข่สัตว์ปีกอื่นๆ ทั้งเปลือกสด</t>
  </si>
  <si>
    <t>ของเสียของสัตว์ปีกอื่นๆ ที่ใช้สำหรับทำปุ๋ยคอกและเชื้อเพลิง</t>
  </si>
  <si>
    <t>สัตว์ประเภทอื่นๆ</t>
  </si>
  <si>
    <t>นกกระจอกเทศและนกอีมู</t>
  </si>
  <si>
    <t>นกกระจอกเทศและนกอีมู มีชีวิต</t>
  </si>
  <si>
    <t>ผลพลอยได้ที่ได้จากการเลี้ยงนกกระจอกเทศและนกอีมู</t>
  </si>
  <si>
    <t>ไข่นกกระจอกเทศและนกอีมูทั้งเปลือกสด</t>
  </si>
  <si>
    <t>น้ำเชื้อของนกกระจอกเทศ</t>
  </si>
  <si>
    <t>ขนนกกระจอกเทศ ที่ได้จากการตัด</t>
  </si>
  <si>
    <t>ของเสียของนกกระจอกเทศและนกอีมูที่ใช้สำหรับทำปุ๋ยคอกและเชื้อเพลิง</t>
  </si>
  <si>
    <t>ไหม ผีเสื้อ และแมลง</t>
  </si>
  <si>
    <t>ไหม ผีเสื้อ และแมลงมีชีวิต</t>
  </si>
  <si>
    <t>ผลพลอยได้ที่ได้จากการเลี้ยงไหม ผีเสื้อ และแมลง</t>
  </si>
  <si>
    <t>รังไหมที่เหมาะสำหรับการสาวไหม</t>
  </si>
  <si>
    <t>ไข่ตัวไหม ผีเสื้อ และเมลงต่างๆ</t>
  </si>
  <si>
    <t>หม่อนที่ใช้เลี้ยงไหม</t>
  </si>
  <si>
    <t>ไขที่ได้จากการเลี้ยงแมลงต่างๆ</t>
  </si>
  <si>
    <t>ผึ้ง</t>
  </si>
  <si>
    <t>ผึ้ง มีชีวิต</t>
  </si>
  <si>
    <t>ผลพลอยได้จากการเลี้ยงผึ้ง</t>
  </si>
  <si>
    <t>น้ำผึ้งธรรมชาติ</t>
  </si>
  <si>
    <t>ขี้ผึ้งที่เกิดจากการเลี้ยงผึ้ง</t>
  </si>
  <si>
    <t>นกนางแอ่น</t>
  </si>
  <si>
    <t>นกนางแอ่น มีชีวิต</t>
  </si>
  <si>
    <t>ผลพลอยได้จากการเลี้ยงนกนางแอ่น</t>
  </si>
  <si>
    <t>รังนกนางแอ่นดิบที่ได้จากการเลี้ยง</t>
  </si>
  <si>
    <t>ของเสียของนกนางแอ่น ที่ใช้สำหรับทำปุ๋ยคอกและเชื้อเพลิง</t>
  </si>
  <si>
    <t>งู</t>
  </si>
  <si>
    <t>งู มีชีวิต</t>
  </si>
  <si>
    <t>สัตว์เลี้ยง (ยกเว้นสัตว์น้ำ)</t>
  </si>
  <si>
    <t>สัตว์เลี้ยงลูกด้วยนมที่เป็นสัตว์เลี้ยง มีชีวิต เช่น หนูแฮมสเตอร์ สุนัข แมว เป็นต้น</t>
  </si>
  <si>
    <t>นกที่เป็นสัตว์เลี้ยงอื่นๆ มีชีวิต เช่น นกจำพวกนกแก้ว นกแขกเต้า นกมาคอว์ และนกกระตั้ว เป็นต้น</t>
  </si>
  <si>
    <t xml:space="preserve">สัตว์ที่เป็นสัตว์เลี้ยงอื่นๆ ซึ่งมิได้จัดประเภทไว้ในที่อื่น มีชีวิต </t>
  </si>
  <si>
    <t>น้ำเชื้อของสัตว์เลี้ยง</t>
  </si>
  <si>
    <t>ของเสียของสัตว์เลี้ยงที่ใช้สำหรับทำปุ๋ยคอกและเชื้อเพลิง</t>
  </si>
  <si>
    <t>สัตว์ประเภทอื่นๆ ซึ่งมิได้จัดประเภทไว้ในที่อื่น</t>
  </si>
  <si>
    <t>สัตว์ประเภทอื่นๆ ซึ่งมิได้จัดประเภทไว้ในที่อื่น มีชีวิต</t>
  </si>
  <si>
    <t>กระต่าย มีชีวิต</t>
  </si>
  <si>
    <t xml:space="preserve">สัตว์เคี้ยวเอื้องอื่นๆ ซึ่งมิได้จัดประเภทไว้ในที่อื่น มีชีวิต </t>
  </si>
  <si>
    <t>สัตว์เลี้ยงลูกด้วยนมและสัตว์มีขนอื่นๆ ซึ่งมิได้จัดประเภทไว้ในที่อื่น มีชีวิต เช่น กวาง กวางเรนเดียร์ เป็นต้น</t>
  </si>
  <si>
    <t>นกอื่นๆ ซึ่งมิได้จัดประเภทไว้ในที่อื่น มีชีวิต เช่น นกกระทา นกล่าเหยื่อ เป็นต้น</t>
  </si>
  <si>
    <t>หอยสเนลมีชีวิต สดหรือแช่เย็น (ยกเว้นหอยสเนลทะเล)</t>
  </si>
  <si>
    <t xml:space="preserve">สัตว์อื่นๆ ซึ่งมิได้จัดประเภทไว้ในที่อื่น มีชีวิต </t>
  </si>
  <si>
    <t>ผลพลอยได้จากการเลี้ยงสัตว์ประเภทอื่นๆ ซึ่งมิได้จัดประเภทไว้ในที่อื่น</t>
  </si>
  <si>
    <t>น้ำเชื้อของสัตว์ประเภทอื่นๆ ซึ่งมิได้จัดประเภทไว้ในที่อื่น</t>
  </si>
  <si>
    <t>ผลิตภัณฑ์ที่บริโภคได้จากสัตว์เลี้ยง ซึ่งมิได้จัดประเภทไว้ในที่อื่น</t>
  </si>
  <si>
    <t>ฟาร์มผสมผสาน</t>
  </si>
  <si>
    <t>บริการที่สนับสนุนการเกษตรและบริการหลังการเก็บเกี่ยว</t>
  </si>
  <si>
    <t>บริการที่สนับสนุนการผลิตพืชผล</t>
  </si>
  <si>
    <t>บริการควบคุมแมลงและสัตว์ศัตรูพืช</t>
  </si>
  <si>
    <t>บริการดำเนินการเกี่ยวกับอุปกรณ์การให้น้ำและเครื่องมือชลประทานทางการเกษตร</t>
  </si>
  <si>
    <t>บริการอื่นๆ ที่สนับสนุนการผลิตพืชผล</t>
  </si>
  <si>
    <t>บริการที่สนับสนุนการเลี้ยงสัตว์</t>
  </si>
  <si>
    <t>บริการที่สนับสนุนการแพร่พันธุ์สัตว์</t>
  </si>
  <si>
    <t>บริการอื่นๆ ที่สนับสนุนการเลี้ยงสัตว์</t>
  </si>
  <si>
    <t>บริการหลังการเก็บเกี่ยวพืชผล</t>
  </si>
  <si>
    <t>บริการจัดการเมล็ดพันธุ์เพื่อการขยายพันธุ์</t>
  </si>
  <si>
    <t>บริการล่าสัตว์ ดักสัตว์ และบริการอื่นๆ ที่เกี่ยวข้อง</t>
  </si>
  <si>
    <t>ผลิตภัณฑ์จากป่า จากการทำไม้ และบริการที่เกี่ยวข้อง</t>
  </si>
  <si>
    <t>ไม้ป่าและบริการอนุบาลต้นไม้ป่า</t>
  </si>
  <si>
    <t>พืชป่ามีชีวิตและเมล็ดพืชป่า</t>
  </si>
  <si>
    <t>พืชป่ามีชีวิต เช่น หัว หน่อ แขนง เหง้า ตุ่ม ตา และแง่ง ที่ยังไม่งอก ที่งอก หรือมีดอก กิ่งชำ กิ่งตอน และส่าเห็ด เป็นต้น</t>
  </si>
  <si>
    <t>เมล็ดพืชป่า</t>
  </si>
  <si>
    <t>บริการอนุบาลต้นไม้ในป่า</t>
  </si>
  <si>
    <t>ไม้ป่ายืนต้น</t>
  </si>
  <si>
    <t>ผลิตภัณฑ์จากการทำไม้</t>
  </si>
  <si>
    <t>ไม้ในลักษณะหยาบๆ</t>
  </si>
  <si>
    <t>ไม้ซุงที่เป็นไม้จำพวกสน เช่น เสาอมไส้ ซุงไม้เลื่อย และซุงไม้บาง ฯลฯ</t>
  </si>
  <si>
    <t>ไม้ซุงที่ไม่ใช่ไม้จำพวกสน เช่น โอ๊ก บีช ประดู่ เต็งและรัง ตะเคียน มะค่า ยางพารา ยูคาลิปตัส เป็นต้น</t>
  </si>
  <si>
    <t>ไม้ซุงที่เป็นไม้เมืองร้อน เช่น ดาร์กเรดเมอแรนติ ไลต์เรดเมอแรนติ และเมอแรนติบาเคา ไม้สัก ไม้ยาง เป็นต้น</t>
  </si>
  <si>
    <t>ไม้ฟืนเป็นท่อน ดุ้น กิ่ง มัด หรือมีลักษณะที่คล้ายกัน</t>
  </si>
  <si>
    <t>ถ่านไม้ (รวมถึงถ่านที่ทำจากเปลือกแข็งหรือนัต) จะเกาะหรือติดรวมกันหรือไม่ก็ตาม</t>
  </si>
  <si>
    <t>ผลิตภัณฑ์จากการเก็บหาของป่า</t>
  </si>
  <si>
    <t>กัมธรรมชาติ เรซิน กัมเรซิน และออลีโอเรซิน</t>
  </si>
  <si>
    <t>บาลาตา กัตตาเปอร์ชา กวายูล ชิเคิล และกัมธรรมชาติที่คล้ายกัน ในลักษณะขั้นปฐม หรือเป็นแผ่น แผ่นบาง หรือเป็นแถบ</t>
  </si>
  <si>
    <t>ครั่ง เรซิน ชันหอม กัมธรรมชาติ และเรซินอื่นๆ เช่น ยางไม้จำพวก ยางสนธรรมชาติยังมิได้แปรสภาพ สีเสียด เป็นต้น</t>
  </si>
  <si>
    <t>ไม้ก๊อกธรรมชาติ ยังไม่ได้จัดทำหรือจัดทำอย่างง่ายๆ</t>
  </si>
  <si>
    <t>ผลิตภัณฑ์จากการเก็บหาของป่าชนิดที่บริโภคได้</t>
  </si>
  <si>
    <t>เห็ดชนิดมัชรูมและเห็ดชนิดทรัฟเฟิล ที่ได้จากการเก็บหาของป่า</t>
  </si>
  <si>
    <t>ไม้ผลที่มีต้นเป็นพุ่ม ที่ได้จากการเก็บหาของป่า เช่น แครนเบอร์รี่ บิลเบอร์รี่ และผลไม้อื่นๆ ในตระกูลแวกซิเนียม เป็นต้น</t>
  </si>
  <si>
    <t>ผลิตภัณฑ์จากการเก็บหาของป่า ชนิดที่บริโภคได้ ซึ่งมิได้จัดประเภทไว้ในที่อื่น</t>
  </si>
  <si>
    <t>ต้นคริสมาสต์ และส่วนอื่นๆ ของพืชที่ได้จากการเก็บหาของป่า ที่ไม่มีดอกติด หญ้า มอส และไลเคน ที่เหมาะสำหรับการประดับ</t>
  </si>
  <si>
    <t>พืชที่ใช้ประโยชน์หลักสำหรับถักสานและผลิตภัณฑ์อื่นๆ จากการเก็บหาของป่า ซึ่งมิได้จัดประเภทไว้ในที่อื่น</t>
  </si>
  <si>
    <t>บริการที่สนับสนุนการป่าไม้</t>
  </si>
  <si>
    <t>สัตว์น้ำและผลิตภัณฑ์อื่นๆ จากการประมงและการเพาะเลี้ยง</t>
  </si>
  <si>
    <t>สัตว์น้ำและผลิตภัณฑ์อื่นๆ จากการประมง</t>
  </si>
  <si>
    <t>สัตว์น้ำและผลิตภัณฑ์อื่นๆ จากการประมงทะเล</t>
  </si>
  <si>
    <t>ปลาจากการประมงทะเล</t>
  </si>
  <si>
    <t>ปลาทะเล มีชีวิต สดหรือแช่เย็น จากการประมง</t>
  </si>
  <si>
    <t>ปลาทะเล มีชีวิต จากการประมง</t>
  </si>
  <si>
    <t>ปลาทะเล สดหรือแช่เย็น จากการประมง (ยกเว้น เนื้อปลาแบบฟิลเลและเนื้อปลาแบบอื่น ตับและไข่)</t>
  </si>
  <si>
    <t>บริการที่สนับสนุนการประมงปลาทะเล</t>
  </si>
  <si>
    <t>กุ้งจากการประมงทะเล</t>
  </si>
  <si>
    <t>กุ้งทะเล มีชีวิต สดหรือแช่เย็น จากการประมง</t>
  </si>
  <si>
    <t>บริการที่สนับสนุนการประมงกุ้งทะเล</t>
  </si>
  <si>
    <t>ปูจากการประมงทะเล</t>
  </si>
  <si>
    <t>ปูทะเล มีชีวิต สดหรือแช่เย็น จากการประมง</t>
  </si>
  <si>
    <t>บริการที่สนับสนุนการประมงปูทะเล</t>
  </si>
  <si>
    <t>หมึกจากการประมงทะเล</t>
  </si>
  <si>
    <t xml:space="preserve">หมึกทะเล มีชีวิต สดหรือแช่เย็น จากการประมง </t>
  </si>
  <si>
    <t>บริการที่สนับสนุนการประมงหมึกทะเล</t>
  </si>
  <si>
    <t>หอยจากการประมงทะเล</t>
  </si>
  <si>
    <t>หอยทะเล มีชีวิต สดหรือแช่เย็นจากการประมง</t>
  </si>
  <si>
    <t>หอยนางรม มีชีวิต สดหรือแช่เย็น จากการประมง</t>
  </si>
  <si>
    <t>หอยทะเลอื่นๆ มีชีวิต สดหรือแช่เย็น จากการประมง เช่น หอยเชลล์หอยแมลงภู่ เปาฮื้อ หอยลาย หอยแครง เป็นต้น</t>
  </si>
  <si>
    <t>บริการที่สนับสนุนการประมงหอยทะเล</t>
  </si>
  <si>
    <t>สัตว์น้ำและผลิตภัณฑ์อื่นๆ มีชีวิต สดหรือแช่เย็น จากการประมงทะเล</t>
  </si>
  <si>
    <t>สัตว์ทะเลที่ไม่มีกระดูกสันหลังอื่นๆ มีชีวิต สดหรือแช่เย็น จากการประมง เช่น แมงกะพรุน ปลิงทะเล เป็นต้น</t>
  </si>
  <si>
    <t>หินปะการังและสิ่งที่คล้ายกัน เปลือกของสัตว์นํ้าจำพวกโมลลุสก์</t>
  </si>
  <si>
    <t>ฟองนํ้าธรรมชาติที่ได้จากสัตว์</t>
  </si>
  <si>
    <t>สาหร่ายทะเล สด แช่เย็น แช่เย็นจนแข็ง หรือแห้ง จะบดหรือไม่ก็ตาม</t>
  </si>
  <si>
    <t>ไข่มุกทะเลธรรมชาติ จากการประมง</t>
  </si>
  <si>
    <t>สัตว์มีชีวิตในทะเลและของที่อยู่ในทะเลอื่นๆ ซึ่งมิได้จัดประเภทไว้ในที่อื่น</t>
  </si>
  <si>
    <t>บริการที่สนับสนุนการประมงสัตว์น้ำและผลิตภัณฑ์อื่นๆ ทางทะเล</t>
  </si>
  <si>
    <t>สัตว์น้ำและผลิตภัณฑ์อื่นๆ จากการประมงน้ำจืด</t>
  </si>
  <si>
    <t>ปลาจากการประมงน้ำจืด</t>
  </si>
  <si>
    <t>ปลาน้ำจืด มีชีวิต สดหรือแช่เย็น จากการประมง</t>
  </si>
  <si>
    <t>ปลาน้ำจืด มีชีวิต จากการประมง</t>
  </si>
  <si>
    <t xml:space="preserve">ปลาน้ำจืด สดหรือแช่เย็น จากการประมง (ยกเว้นเนื้อปลาแบบฟิลเลและเนื้อปลาแบบอื่น) </t>
  </si>
  <si>
    <t>บริการที่สนับสนุนการประมงปลาน้ำจืด</t>
  </si>
  <si>
    <t>กุ้งจากการประมงน้ำจืด</t>
  </si>
  <si>
    <t>กุ้งน้ำจืด มีชีวิต สดหรือแช่เย็น จากการประมง</t>
  </si>
  <si>
    <t>บริการที่สนับสนุนการประมงกุ้งน้ำจืด</t>
  </si>
  <si>
    <t>สัตว์น้ำจืดและผลิตภัณฑ์อื่นๆ จากการประมงน้ำจืด</t>
  </si>
  <si>
    <t xml:space="preserve">หอยน้ำจืด มีชีวิต สดหรือแช่เย็น จากการประมง  </t>
  </si>
  <si>
    <t>ปูน้ำจืด มีชีวิต สดหรือแช่เย็น จากการประมง</t>
  </si>
  <si>
    <t>กบ มีชีวิต สดหรือแช่เย็น จากการประมง</t>
  </si>
  <si>
    <t>สัตว์นํ้าจืดที่ไม่มีกระดูกสันหลังอื่นๆ มีชีวิต สดหรือแช่เย็น จากการประมง</t>
  </si>
  <si>
    <t>สาหร่ายน้ำจืด สด แช่เย็น แช่เย็นจนแข็ง หรือแห้ง จะบดหรือไม่ก็ตาม</t>
  </si>
  <si>
    <t>ไข่มุกน้ำจืดธรรมชาติ จากการประมง</t>
  </si>
  <si>
    <t>บริการที่สนับสนุนการประมงสัตว์น้ำจืดและผลิตภัณฑ์อื่นๆ</t>
  </si>
  <si>
    <t>สัตว์น้ำและผลิตภัณฑ์อื่นๆ จากการเพาะเลี้ยง</t>
  </si>
  <si>
    <t>สัตว์น้ำทะเลและผลิตภัณฑ์อื่นๆ จากการเพาะเลี้ยง</t>
  </si>
  <si>
    <t>ปลาทะเลจากการเพาะเลี้ยง</t>
  </si>
  <si>
    <t>ปลาทะเล มีชีวิต สดหรือแช่เย็น จากการเพาะเลี้ยง</t>
  </si>
  <si>
    <t>ปลาทะเล มีชีวิต จากการเพาะเลี้ยง</t>
  </si>
  <si>
    <t>ปลาทะเล สดหรือแช่เย็น จากการเพาะเลี้ยง (ยกเว้น เนื้อปลาแบบ ฟิลเล และเนื้อปลาแบบอื่น ตับและไข่)</t>
  </si>
  <si>
    <t>บริการที่สนับสนุนการเพาะเลี้ยงปลาทะเล</t>
  </si>
  <si>
    <t>กุ้งทะเลจากการเพาะเลี้ยง</t>
  </si>
  <si>
    <t>กุ้งทะเล มีชีวิต สดหรือแช่เย็น จากการเพาะเลี้ยง</t>
  </si>
  <si>
    <t>บริการที่สนับสนุนการเพาะเลี้ยงกุ้งทะเล</t>
  </si>
  <si>
    <t>หอยทะเลจากการเพาะเลี้ยง</t>
  </si>
  <si>
    <t>หอยทะเล มีชีวิต สดหรือแช่เย็น จากการเพาะเลี้ยง</t>
  </si>
  <si>
    <t>หอยนางรม มีชีวิต สดหรือแช่เย็น จากการเพาะเลี้ยง</t>
  </si>
  <si>
    <t>หอยทะเลอื่นๆ มีชีวิต สดหรือแช่เย็น จากการเพาะเลี้ยง เช่น หอยลาย หอยเชลล์ หอยแมลงภู่ เปาฮื้อ หอยแครง เป็นต้น</t>
  </si>
  <si>
    <t>บริการที่สนับสนุนการเพาะเลี้ยงหอยทะเล</t>
  </si>
  <si>
    <t>สัตว์ทะเลสวยงามจากการเพาะเลี้ยง</t>
  </si>
  <si>
    <t>สัตว์ทะเลสวยงาม มีชีวิต จากการเพาะเลี้ยง</t>
  </si>
  <si>
    <t>ปลาทะเลสวยงาม มีชีวิต จากการเพาะเลี้ยง เช่น ปลาการ์ตูน ปลาหูช้าง เป็นต้น</t>
  </si>
  <si>
    <t>สัตว์น้ำทะเลสวยงาม มีชีวิตอื่นๆ จากการเพาะเลี้ยง</t>
  </si>
  <si>
    <t>บริการที่สนับสนุนการเพาะเลี้ยงสัตว์ทะเลสวยงาม</t>
  </si>
  <si>
    <t>สัตว์น้ำทะเลและผลิตภัณฑ์อื่นๆ มีชีวิต สดหรือแช่เย็น จากการเพาะเลี้ยง</t>
  </si>
  <si>
    <t>ปูทะเล มีชีวิต สดหรือแช่เย็น จากการเพาะเลี้ยง</t>
  </si>
  <si>
    <t>หมึกทะเล มีชีวิต สดหรือแช่เย็น จากการเพาะเลี้ยง</t>
  </si>
  <si>
    <t>สัตว์น้ำทะเลที่ไม่มีกระดูกสันหลังอื่นๆ มีชีวิต สดหรือแช่เย็น จากการเพาะเลี้ยง เช่น แมงกะพรุน ปลิงทะเล เป็นต้น</t>
  </si>
  <si>
    <t>สาหร่ายทะเล สด แช่เย็น แช่เย็นจนแข็ง หรือแห้ง จะบดหรือไม่ก็ตาม จากการเพาะเลี้ยง</t>
  </si>
  <si>
    <t>ไข่มุกเลี้ยง (น้ำเค็ม)</t>
  </si>
  <si>
    <t>สัตว์น้ำทะเลและผลิตภัณฑ์อื่นๆ ซึ่งมิได้จัดประเภทไว้ในที่อื่น จากการเพาะเลี้ยง</t>
  </si>
  <si>
    <t>บริการที่สนับสนุนการเพาะเลี้ยงสัตว์น้ำทะเลและผลิตภัณฑ์อื่นๆ</t>
  </si>
  <si>
    <t>สัตว์น้ำจืดและผลิตภัณฑ์อื่นๆ จากการเพาะเลี้ยง</t>
  </si>
  <si>
    <t>ปลาน้ำจืดจากการเพาะเลี้ยง</t>
  </si>
  <si>
    <t>ปลาน้ำจืด มีชีวิต สดหรือแช่เย็น จากการเพาะเลี้ยง</t>
  </si>
  <si>
    <t>ปลาน้ำจืด มีชีวิต จากการเพาะเลี้ยง</t>
  </si>
  <si>
    <t>ปลาน้ำจืด สดหรือแช่เย็น จากการเพาะเลี้ยง (ยกเว้น เนื้อปลาแบบ ฟิลเลและเนื้อปลาแบบอื่น)</t>
  </si>
  <si>
    <t>บริการที่สนับสนุนการเพาะเลี้ยงปลาน้ำจืด</t>
  </si>
  <si>
    <t>กุ้งน้ำจืดจากการเพาะเลี้ยง</t>
  </si>
  <si>
    <t>กุ้งน้ำจืด มีชีวิต สดหรือแช่เย็น จากการเพาะเลี้ยง</t>
  </si>
  <si>
    <t>บริการที่สนับสนุนการเพาะเลี้ยงกุ้งน้ำจืด</t>
  </si>
  <si>
    <t>กบจากการเพาะเลี้ยง</t>
  </si>
  <si>
    <t>กบ มีชีวิต สดหรือแช่เย็น จากการเพาะเลี้ยง</t>
  </si>
  <si>
    <t>บริการที่สนับสนุนการเพาะเลี้ยงกบ</t>
  </si>
  <si>
    <t>จระเข้จากการเพาะเลี้ยง</t>
  </si>
  <si>
    <t>จระเข้ มีชีวิต สดหรือแช่เย็น จากการเพาะเลี้ยง</t>
  </si>
  <si>
    <t>บริการที่สนับสนุนการเพาะเลี้ยงจระเข้</t>
  </si>
  <si>
    <t>สัตว์น้ำจืดสวยงามจากการเพาะเลี้ยง</t>
  </si>
  <si>
    <t>สัตว์น้ำจืดสวยงาม มีชีวิต จากการเพาะเลี้ยง</t>
  </si>
  <si>
    <t>ปลาน้ำจืดสวยงาม มีชีวิต เช่น ปลาทอง ปลาหางนกยูง เป็นต้น</t>
  </si>
  <si>
    <t>สัตว์น้ำจืดสวยงาม มีชีวิตอื่นๆ จากการเพาะเลี้ยง</t>
  </si>
  <si>
    <t>บริการที่สนับสนุนการเพาะเลี้ยงสัตว์น้ำจืดสวยงาม</t>
  </si>
  <si>
    <t xml:space="preserve">หอยน้ำจืด มีชีวิต สดหรือแช่เย็น จากการเพาะเลี้ยง </t>
  </si>
  <si>
    <t>ปูน้ำจืด มีชีวิต สดหรือแช่เย็น จากการเพาะเลี้ยง</t>
  </si>
  <si>
    <t xml:space="preserve">เต่าและตะพาบน้ำ มีชีวิต </t>
  </si>
  <si>
    <t>ไข่มุกน้ำจืด จากการเพาะเลี้ยง</t>
  </si>
  <si>
    <t>ไรแดง มีชีวิต จากการเพาะเลี้ยง</t>
  </si>
  <si>
    <t>บริการที่สนับสนุนการเพาะเลี้ยงสัตว์น้ำจืดและผลิตภัณฑ์อื่นๆ</t>
  </si>
  <si>
    <t>B</t>
  </si>
  <si>
    <t>ผลิตภัณฑ์ที่ได้จากการทำเหมืองแร่และเหมืองหิน</t>
  </si>
  <si>
    <t>ถ่านหินและลิกไนต์</t>
  </si>
  <si>
    <t>ถ่านหินคุณภาพสูง</t>
  </si>
  <si>
    <t>ถ่านหินคุณภาพสูง (เช่น แอนทราไซต์ ถ่านหินบิทูมินัส เป็นต้น) ที่ไม่ทำให้เกาะหรือติดรวมกัน</t>
  </si>
  <si>
    <t xml:space="preserve">ถ่านหินคุณภาพสูง (เช่น แอนทราไซต์ ถ่านหินบิทูมินัส เป็นต้น) ที่ไม่ทำให้เกาะหรือติดรวมกัน	</t>
  </si>
  <si>
    <t>ลิกไนต์</t>
  </si>
  <si>
    <t>ลิกไนต์ ที่ไม่ทำให้เกาะหรือติดรวมกัน</t>
  </si>
  <si>
    <t>ปิโตรเลียมดิบและก๊าซธรรมชาติ</t>
  </si>
  <si>
    <t>ปิโตรเลียมดิบ</t>
  </si>
  <si>
    <t>นํ้ามันปิโตรเลียมดิบและนํ้ามันดิบที่ได้จากแร่บิทูมินัส</t>
  </si>
  <si>
    <t>หินดินดานบิทูมินัสหรือหินนํ้ามันและทาร์แซนด์</t>
  </si>
  <si>
    <t>ก๊าซธรรมชาติ</t>
  </si>
  <si>
    <t>ก๊าซธรรมชาติ ในสถานะที่เป็นของเหลวหรือก๊าซ</t>
  </si>
  <si>
    <t>สินแร่โลหะ</t>
  </si>
  <si>
    <t>สินแร่เหล็ก</t>
  </si>
  <si>
    <t>สินแร่และหัวแร่เหล็ก (ยกเว้นแร่เหล็กไพไรต์ที่ย่างแล้ว)</t>
  </si>
  <si>
    <t>สินแร่โลหะที่ไม่ใช่สินแร่เหล็ก (ยกเว้นโลหะมีค่า)</t>
  </si>
  <si>
    <t>สินแร่ยูเรเนียมและทอเรียม</t>
  </si>
  <si>
    <t>สินแร่และหัวแร่ยูเรเนียมหรือทอเรียม</t>
  </si>
  <si>
    <t>สินแร่โลหะอื่นๆ ที่ไม่ใช่สินแร่เหล็ก</t>
  </si>
  <si>
    <t>สินแร่ดีบุก</t>
  </si>
  <si>
    <t>สินแร่และหัวแร่ดีบุก</t>
  </si>
  <si>
    <t>สินแร่สังกะสี</t>
  </si>
  <si>
    <t>สินแร่และหัวแร่สังกะสี</t>
  </si>
  <si>
    <t>สินแร่โลหะอื่นๆ ที่ไม่ใช่สินแร่เหล็ก ซึ่งมิได้จัดประเภทไว้ในที่อื่น</t>
  </si>
  <si>
    <t>สินแร่และหัวแร่ทองแดง</t>
  </si>
  <si>
    <t>สินแร่และหัวแร่นิกเกิล</t>
  </si>
  <si>
    <t>สินแร่และหัวแร่อะลูมิเนียม</t>
  </si>
  <si>
    <t>สินแร่และหัวแร่ตะกั่ว</t>
  </si>
  <si>
    <t>สินแร่โลหะมีค่า</t>
  </si>
  <si>
    <t>สินแร่และหัวแร่ของโลหะมีค่า</t>
  </si>
  <si>
    <t>ผลิตภัณฑ์ที่ได้จากการทำเหมืองแร่และเหมืองหินอื่นๆ</t>
  </si>
  <si>
    <t>หิน ทราย และดิน</t>
  </si>
  <si>
    <t>หินที่ใช้ในการก่อสร้าง</t>
  </si>
  <si>
    <t>หินอ่อนและหินอื่นๆ ที่มีแคลเซียมคาร์บอเนต สำหรับใช้ทำอนุสาวรีย์หรือใช้ในการก่อสร้าง จะแต่งอย่างหยาบๆ หรือเพียงแต่เลื่อยหรือตัดโดยวิธีอื่นๆ ให้เป็นก้อน/แผ่นสี่เหลี่ยมหรือไม่ก็ตาม</t>
  </si>
  <si>
    <t>หินแกรนิตหินทรายและหินอื่นๆ สำหรับใช้ทำอนุสาวรีย์หรือใช้ในการก่อสร้าง จะแต่งอย่างหยาบๆ หรือเพียงแต่เลื่อยหรือตัด โดยวิธีอื่นๆ ให้เป็นก้อน/แผ่นสี่เหลี่ยมหรือไม่ก็ตาม</t>
  </si>
  <si>
    <t>หินชนวนจะแต่งอย่างหยาบๆ หรือเพียงแต่เลื่อยหรือตัดโดยวิธีอื่นๆ ให้เป็นก้อน/แผ่นสี่เหลี่ยมหรือไม่ก็ตาม</t>
  </si>
  <si>
    <t>หินปูน ยิปซัม ชอล์ก และโดโลไมต์</t>
  </si>
  <si>
    <t>ไลม์สโตนและยิปซัม</t>
  </si>
  <si>
    <t>ชอล์กและโดโลไมต์ที่ไม่ได้ผ่านการเผาโดยวิธีคาลซีเนชัน</t>
  </si>
  <si>
    <t>กรวดและทราย</t>
  </si>
  <si>
    <t>ทรายธรรมชาติทุกชนิดจะแต่งสีหรือไม่ก็ตาม</t>
  </si>
  <si>
    <t>กรวดและหินที่ย่อยหรือโม่แล้ว ชนิดที่ปกติใช้ผสมคอนกรีต โรยถนน ทางรถไฟ หรือทางอย่างอื่น กรวดหินจากชายฝั่ง และหินฟลินต์ รวมถึงหินอ่อนและหินแกรนิต ที่เป็นเม็ด เป็นสะเก็ด และเป็นผง จะผ่านกรรมวิธีใช้ความร้อนหรือไม่ก็ตาม</t>
  </si>
  <si>
    <t>แมกคาดัมที่ได้จากขี้แร่ จากขี้ตะกอน หรือเศษที่คล้ายกัน จากอุตสาหกรรม จะมีกรวดหรือหินที่ย่อยหรือโม่แล้ว กรวดหินจากชายฝั่งและหินฟลินต์สำหรับใช้ในการก่อสร้าง รวมอยู่ด้วยหรือไม่ก็ตาม</t>
  </si>
  <si>
    <t>ดิน</t>
  </si>
  <si>
    <t>เคโอลินและดินอื่นที่มีเคโอลินปนอยู่ (ยกเว้นที่ผ่านการเผาโดยวิธีคาลซีเนชัล)</t>
  </si>
  <si>
    <t>ดินอื่นๆ รวมถึง แอนดาลูไซต์ ไคยาไนต์ และซิลลิมาไนต์ มุลไลต์ ชามอตต์เอิร์ท หรือดีนาสเอิร์ท</t>
  </si>
  <si>
    <t>ผลิตภัณฑ์ที่ได้จากการทำเหมืองแร่และเหมืองหิน ซึ่งมิได้จัดประเภทไว้ในที่อื่น</t>
  </si>
  <si>
    <t>สินแร่ที่ใช้ทำเคมีภัณฑ์และปุ๋ย</t>
  </si>
  <si>
    <t>แคลเซียมฟอสเฟตธรรมชาติ อะลูมิเนียมแคลเซียมฟอสเฟตธรรมชาติและฟอสเฟติกชอล์ก</t>
  </si>
  <si>
    <t>ไอออนไพไรต์ที่ไม่ได้ย่างหรืออบ รวมถึงกำมะถันดิบหรือไม่บริสุทธิ์</t>
  </si>
  <si>
    <t>สินแร่ที่ใช้ทำเคมีภัณฑ์และปุ๋ยอื่นๆ</t>
  </si>
  <si>
    <t>พีต</t>
  </si>
  <si>
    <t>พีต (รวมถึงพีตลิตเตอร์)</t>
  </si>
  <si>
    <t>เกลือ</t>
  </si>
  <si>
    <t>เกลือสินเธาว์</t>
  </si>
  <si>
    <t>เกลือสมุทร</t>
  </si>
  <si>
    <t>ผลิตภัณฑ์ที่ได้จากการทำเหมืองแร่และเหมืองหินอื่นๆ ซึ่งมิได้จัดประเภทไว้ในที่อื่น</t>
  </si>
  <si>
    <t>สินแร่รัตนชาติและกึ่งรัตนชาติ</t>
  </si>
  <si>
    <t>รัตนชาติและกึ่งรัตนชาติ (ยกเว้นเพชรที่ใช้ในทางอุตสาหกรรม) ไม่ได้ตกแต่ง หรือเพียงแต่เลื่อย หรือทำเป็นรูปทรงอย่างหยาบๆ</t>
  </si>
  <si>
    <t>เพชรที่ใช้ในทางอุตสาหกรรม ที่ไม่ได้ตกแต่ง หรือเพียงแต่เลื่อย หรือ ทำให้แยก รวมถึงคอรันดัมธรรมชาติและการ์เนตธรรมชาติ ควอร์ตซ์และไมกา</t>
  </si>
  <si>
    <t>บิทูเมนธรรมชาติและแอสฟัลต์ธรรมชาติ แอสฟัลไตต์และหินแอสฟัลต์</t>
  </si>
  <si>
    <t>ผลิตภัณฑ์ขัดถูธรรมชาติและแร่อื่นๆ ซึ่งมิได้จัดประเภทไว้ในที่อื่น</t>
  </si>
  <si>
    <t>หินพัมมิสเอเมอรีและวัตถุขัดถูธรรมชาติอื่นๆ จะผ่านกรรมวิธีใช้ ความร้อนหรือไม่ก็ตาม</t>
  </si>
  <si>
    <t>แร่อื่นๆ ซึ่งมิได้จัดประเภทไว้ในที่อื่น</t>
  </si>
  <si>
    <t>บริการที่สนับสนุนการทำเหมืองแร่</t>
  </si>
  <si>
    <t>บริการที่สนับสนุนการขุดเจาะปิโตรเลียมและก๊าซธรรมชาติ</t>
  </si>
  <si>
    <t>บริการเจาะที่เกี่ยวข้องกับการขุดเจาะปิโตรเลียมและก๊าซธรรมชาติ</t>
  </si>
  <si>
    <t>บริการสร้าง ซ่อมแซม และรื้อถอนแท่นขุดเจาะ ณ แหล่งน้ำมันหรือแหล่งก๊าซ รวมถึงบริการที่เกี่ยวข้องกับการขุดเจาะปิโตรเลียมและก๊าซธรรมชาติ</t>
  </si>
  <si>
    <t>บริการเปลี่ยนสถานะก๊าซธรรมชาติให้เป็นของเหลว และจากของเหลวให้กลับเป็นก๊าซ เพื่อการขนส่ง ที่ดำเนินการ ณ แหล่งก๊าซ</t>
  </si>
  <si>
    <t>บริการที่สนับสนุนการทำเหมืองแร่และเหมืองหินอื่นๆ</t>
  </si>
  <si>
    <t>บริการที่สนับสนุนการทำเหมืองถ่านหินคุณภาพสูง</t>
  </si>
  <si>
    <t>บริการที่สนับสนุนการทำเหมืองแร่และเหมืองหินอื่นๆ ซึ่งมิได้จัดประเภทไว้ในที่อื่น เช่น บริการสำรวจเหมือง เจาะทดสอบและเจาะหลุมทดสอบเพื่อการทำเหมืองแร่และเหมืองหิน เป็นต้น</t>
  </si>
  <si>
    <t>C</t>
  </si>
  <si>
    <t>ผลิตภัณฑ์ที่ได้จากการผลิต</t>
  </si>
  <si>
    <t>ผลิตภัณฑ์อาหาร</t>
  </si>
  <si>
    <t>ผลิตภัณฑ์ที่ได้จากการแปรรูปและการถนอมเนื้อสัตว์</t>
  </si>
  <si>
    <t>เนื้อสัตว์และผลิตภัณฑ์เนื้อสัตว์ (ยกเว้นสัตว์ปีก)</t>
  </si>
  <si>
    <t>ผลิตภัณฑ์ที่ได้จากการฆ่าสัตว์ (ยกเว้นสัตว์ปีก)</t>
  </si>
  <si>
    <t xml:space="preserve">เนื้อสัตว์ (ยกเว้นสัตว์ปีก) ทั้งตัวหรือครึ่งตัว สดหรือแช่เย็น </t>
  </si>
  <si>
    <t>เนื้อจำพวกโคและกระบือ ทั้งตัวหรือครึ่งตัว สดหรือแช่เย็น</t>
  </si>
  <si>
    <t>เนื้อสุกร ทั้งตัวหรือครึ่งตัว สดหรือแช่เย็น</t>
  </si>
  <si>
    <t>เนื้อแกะและเนื้อแพะ ทั้งตัวหรือครึ่งตัว สดหรือแช่เย็น</t>
  </si>
  <si>
    <t>เนื้อสัตว์อื่นๆ (ยกเว้นสัตว์ปีก) ทั้งตัวหรือครึ่งตัว สดหรือแช่เย็น</t>
  </si>
  <si>
    <t>ส่วนอื่นที่บริโภคได้ของเนื้อสัตว์ (ยกเว้นสัตว์ปีก) สดหรือแช่เย็น</t>
  </si>
  <si>
    <t>ส่วนอื่นที่บริโภคได้ของสัตว์จำพวกโคและกระบือ สดหรือแช่เย็น</t>
  </si>
  <si>
    <t>ส่วนอื่นที่บริโภคได้ของสุกร สดหรือแช่เย็น</t>
  </si>
  <si>
    <t>ส่วนอื่นที่บริโภคได้ของแกะและแพะ สดหรือแช่เย็น</t>
  </si>
  <si>
    <t>ส่วนอื่นที่บริโภคได้ของเนื้อสัตว์อื่นๆ (ยกเว้นสัตว์ปีก) สดหรือแช่เย็น</t>
  </si>
  <si>
    <t>เนื้อสัตว์ (ยกเว้นสัตว์ปีก) ทั้งตัวหรือครึ่งตัว แช่แข็ง</t>
  </si>
  <si>
    <t>เนื้อจำพวกโคและกระบือ ทั้งตัวหรือครึ่งตัว แช่แข็ง</t>
  </si>
  <si>
    <t>เนื้อสุกร ทั้งตัวหรือครึ่งตัว แช่แข็ง</t>
  </si>
  <si>
    <t>เนื้อแกะและเนื้อแพะ ทั้งตัวหรือครึ่งตัว แช่แข็ง</t>
  </si>
  <si>
    <t>เนื้อสัตว์อื่นๆ (ยกเว้นสัตว์ปีก) ทั้งตัวหรือครึ่งตัว แช่แข็ง</t>
  </si>
  <si>
    <t>ส่วนอื่นที่บริโภคได้ของเนื้อสัตว์ (ยกเว้นสัตว์ปีก) แช่แข็ง</t>
  </si>
  <si>
    <t>ส่วนอื่นที่บริโภคได้ของสัตว์จำพวกโคและกระบือ แช่แข็ง</t>
  </si>
  <si>
    <t>ส่วนอื่นที่บริโภคได้ของสุกร แช่แข็ง</t>
  </si>
  <si>
    <t>ส่วนอื่นที่บริโภคได้ของแกะและแพะ แช่แข็ง</t>
  </si>
  <si>
    <t>ส่วนอื่นที่บริโภคได้ของเนื้อสัตว์อื่นๆ (ยกเว้นสัตว์ปีก) แช่แข็ง</t>
  </si>
  <si>
    <t>หนังดิบสดของสัตว์จะเอาขนออกหรือผ่าหรือไม่ก็ตาม</t>
  </si>
  <si>
    <t>หนังดิบสดของสัตว์จำพวกโคกระบือ</t>
  </si>
  <si>
    <t>หนังดิบสดของแกะหรือลูกแกะ และแพะหรือลูกแพะ</t>
  </si>
  <si>
    <t>หนังดิบสดของสัตว์อื่นๆ</t>
  </si>
  <si>
    <t>หนังเฟอร์ดิบสดของสัตว์</t>
  </si>
  <si>
    <t>หนังเฟอร์ดิบสดของแกะ รวมถึงหัว หาง อุ้งเท้า และชิ้นหรือส่วนตัดอื่นๆ ที่เหมาะสำหรับใช้ประโยชน์ในกิจการหนังเฟอร์</t>
  </si>
  <si>
    <t>หนังเฟอร์ดิบสดของสัตว์อื่นๆ (ยกเว้นแกะ) รวมถึงหัว หาง อุ้งเท้า และชิ้นหรือส่วนตัดอื่นๆ ที่เหมาะสำหรับใช้ประโยชน์ในกิจการหนังเฟอร์</t>
  </si>
  <si>
    <t>ไขมันของสัตว์ยังไม่เจียว</t>
  </si>
  <si>
    <t>ส่วนอื่นที่บริโภคไม่ได้ของสัตว์</t>
  </si>
  <si>
    <t>บริการรับจ้างเหมาที่เป็นส่วนหนึ่งของการฆ่าสัตว์ (ยกเว้นสัตว์ปีก)</t>
  </si>
  <si>
    <t>เนื้อสัตว์ (ยกเว้นสัตว์ปีก) สด แช่เย็น หรือแช่แข็ง</t>
  </si>
  <si>
    <t>เนื้อสัตว์ (ยกเว้นสัตว์ปีก) ส่วนตัดแบบอื่น ที่มีกระดูกและไม่มีกระดูก สดหรือแช่เย็น</t>
  </si>
  <si>
    <t>เนื้อจำพวกโคและกระบือ ที่ตัดแบบอื่น ที่มีกระดูกและไม่มีกระดูก สดหรือแช่เย็น</t>
  </si>
  <si>
    <t>เนื้อสุกร รวมถึงขาหลัง ขาหน้า และส่วนตัดของขาดังกล่าว ที่มีกระดูกและไม่มีกระดูก สดหรือแช่เย็น</t>
  </si>
  <si>
    <t>เนื้อแกะและเนื้อแพะ ที่ตัดแบบอื่นที่มีกระดูกและไม่มีกระดูก สดหรือแช่เย็น</t>
  </si>
  <si>
    <t>เนื้อสัตว์อื่นๆ (ยกเว้นสัตว์ปีก) ที่ตัดแบบอื่น ที่มีกระดูกและไม่มีกระดูก สดหรือแช่เย็น</t>
  </si>
  <si>
    <t>เนื้อสัตว์ (ยกเว้นสัตว์ปีก) ที่ตัดแบบอื่นที่มีกระดูกหรือไม่มีกระดูก แช่แข็ง</t>
  </si>
  <si>
    <t>เนื้อสัตว์จำพวกโคและกระบือ ที่ตัดแบบอื่น ที่มีกระดูกและไม่มีกระดูก แช่แข็ง</t>
  </si>
  <si>
    <t>เนื้อสุกร รวมถึงขาหลัง ขาหน้า และส่วนตัดของขาดังกล่าว ที่มีกระดูกและไม่มีกระดูก แช่แข็ง</t>
  </si>
  <si>
    <t>เนื้อแกะ ที่ตัดแบบอื่นที่มีกระดูกและไม่มีกระดูก แช่แข็ง</t>
  </si>
  <si>
    <t>เนื้อสัตว์อื่นๆ (ยกเว้นสัตว์ปีก) ที่ตัดแบบอื่น ที่มีกระดูกและไม่มีกระดูก แช่แข็ง</t>
  </si>
  <si>
    <t>บริการรับจ้างเหมาที่เป็นส่วนหนึ่งของการผลิตเนื้อสัตว์ (ยกเว้นสัตว์ปีก) สด แช่เย็น หรือแช่แข็ง</t>
  </si>
  <si>
    <t>ผลิตภัณฑ์ที่ได้จากการฆ่าสัตว์ปีก และเนื้อสัตว์ปีกสด แช่เย็น หรือแช่แข็ง</t>
  </si>
  <si>
    <t>เนื้อสัตว์ปีก สดหรือแช่เย็น</t>
  </si>
  <si>
    <t>เนื้อไก่ สดหรือแช่เย็น</t>
  </si>
  <si>
    <t>เนื้อเป็ด สดหรือแช่เย็น</t>
  </si>
  <si>
    <t>เนื้อห่าน สดหรือแช่เย็น</t>
  </si>
  <si>
    <t>เนื้อไก่งวงและเนื้อไก่ต๊อก สดหรือแช่เย็น</t>
  </si>
  <si>
    <t>เนื้อสัตว์ปีก แช่แข็ง</t>
  </si>
  <si>
    <t>เนื้อไก่ แช่แข็ง</t>
  </si>
  <si>
    <t>เนื้อเป็ด แช่แข็ง</t>
  </si>
  <si>
    <t>เนื้อห่าน แช่แข็ง</t>
  </si>
  <si>
    <t>เนื้อไก่งวงและเนื้อไก่ต๊อก แช่แข็ง</t>
  </si>
  <si>
    <t>ส่วนอื่นที่บริโภคได้ของสัตว์ปีก (เช่น ตับ ไส้ เป็นต้น) สด แช่เย็น หรือแช่แข็ง</t>
  </si>
  <si>
    <t>มันสัตว์ปีกยังไม่เจียว</t>
  </si>
  <si>
    <t>หนังและส่วนอื่นของสัตว์ปีก ที่มีขนแข็งหรือขนอ่อนติด ขนแข็งและส่วนของขนแข็ง (จะแต่งริมหรือไม่ก็ตาม) และขนอ่อนที่ไม่ได้จัดทำมากไปกว่าทำความสะอาด ฆ่าเชื้อโรค หรือทำไว้ไม่ให้เสีย รวมถึงผงและเศษของขนแข็งหรือส่วนของขนแข็ง</t>
  </si>
  <si>
    <t>บริการรับจ้างเหมาที่เป็นส่วนหนึ่งของการฆ่าสัตว์ปีกและการผลิตเนื้อสัตว์ปีก สด แช่เย็น หรือแช่แข็ง</t>
  </si>
  <si>
    <t>ผลิตภัณฑ์เนื้อสัตว์และเนื้อสัตว์ปีก</t>
  </si>
  <si>
    <t>ผลิตภัณฑ์เนื้อสัตว์และเนื้อสัตว์ปีกที่ทำให้แห้ง ทำเค็ม หรือรมควัน</t>
  </si>
  <si>
    <t>ผลิตภัณฑ์เนื้อสัตว์และเนื้อสัตว์ปีก ที่ทำให้แห้ง ทำเค็ม หรือรมควัน</t>
  </si>
  <si>
    <t>เนื้อสุกร ที่ทำให้แห้ง ทำเค็ม หรือรมควัน เช่น เนื้อเบคอน แฮม ฯลฯ</t>
  </si>
  <si>
    <t>เนื้อสัตว์จำพวกโคกระบือ ที่ทำให้แห้ง ทำเค็ม หรือรมควัน</t>
  </si>
  <si>
    <t>เนื้อและส่วนอื่นของสัตว์อื่นๆ ที่บริโภคได้ ที่ทำให้แห้ง ทำเค็ม หรือรมควัน (ยกเว้น เนื้อสุกรและเนื้อสัตว์จำพวกโคกระบือ) รวมถึง เนื้อและส่วนอื่นของสัตว์ที่ป่นซึ่งบริโภคได้</t>
  </si>
  <si>
    <t>บริการรับจ้างเหมาที่เป็นส่วนหนึ่งของการผลิตเนื้อสัตว์และสัตว์ปีก ที่ทำให้แห้ง ทำเค็ม หรือรมควัน</t>
  </si>
  <si>
    <t>ไส้กรอก ลูกชิ้น และผลิตภัณฑ์อื่นที่คล้ายกัน ที่ทำจากเนื้อสัตว์และเนื้อสัตว์ปีก</t>
  </si>
  <si>
    <t>ไส้กรอกและผลิตภัณฑ์ที่คล้ายกัน ที่ทำจากเนื้อสัตว์และเนื้อสัตว์ปีก ส่วนอื่นของสัตว์หรือเลือดสัตว์</t>
  </si>
  <si>
    <t>บริการรับจ้างเหมาที่เป็นส่วนหนึ่งของการผลิตไส้กรอก ลูกชิ้น และผลิตภัณฑ์อื่นที่คล้ายกัน ที่ทำจากเนื้อสัตว์และเนื้อสัตว์ปีก</t>
  </si>
  <si>
    <t>เนื้อสัตว์และเนื้อสัตว์ปีกบรรจุกระป๋อง</t>
  </si>
  <si>
    <t>บริการรับจ้างเหมาที่เป็นส่วนหนึ่งของการผลิตเนื้อสัตว์และเนื้อสัตว์ปีกบรรจุกระป๋อง</t>
  </si>
  <si>
    <t>ผลิตภัณฑ์พลอยได้จากสัตว์และสัตว์ปีก</t>
  </si>
  <si>
    <t>ไขมันหมูและไขมันจากสัตว์อื่นๆ ที่บริโภคได้</t>
  </si>
  <si>
    <t>ไขมันหมู (รวมถึงนํ้ามันหมู (ลาร์ด)) ที่บริโภคได้</t>
  </si>
  <si>
    <t>ไขมันสัตว์ปีกเลี้ยง ที่บริโภคได้</t>
  </si>
  <si>
    <t>ไขสัตว์ (แทลโล) ที่บริโภคได้</t>
  </si>
  <si>
    <t>เนื้อสัตว์หรือส่วนอื่นของสัตว์ ที่ป่น ที่ทำเป็นเพลเลต ซึ่งไม่เหมาะสำหรับมนุษย์บริโภค กากมันสัตว์ที่เจียวนํ้ามันออกแล้ว</t>
  </si>
  <si>
    <t>ขนแกะที่ไม่ได้จากการตัด ไม่ได้สางหรือหวี ยังมีไข รวมถึงขนแกะอื่นๆ ที่ล้างแบบฟลีซวอช ขนหยาบของสัตว์ไม่ได้สางหรือหวี</t>
  </si>
  <si>
    <t>หนังดิบของสัตว์ ใส่เกลือ แห้ง ใส่ปูนขาว หมัก หรือทำไว้ไม่ให้เสียโดยวิธีอื่น แต่ต้องไม่ฟอก ไม่ตกแต่งแบบพาร์ชเมนต์ หรือไม่จัดทำมากไปกว่านี้ จะเอาขนออกหรือผ่าหรือไม่ก็ตาม</t>
  </si>
  <si>
    <t>หนังดิบของสัตว์จำพวกโคกระบือ ใส่เกลือ แห้ง ใส่ปูนขาว หมัก หรือทำไว้ไม่ให้เสียโดยวิธีอื่น แต่ต้องไม่ฟอก ไม่ตกแต่งแบบพาร์ชเมนต์ หรือ ไม่จัดทำมากไปกว่านี้ จะเอาขนออกหรือผ่าหรือไม่ก็ตาม</t>
  </si>
  <si>
    <t>หนังดิบของแกะหรือลูกแกะ และแพะหรือลูกแพะ ใส่เกลือ แห้ง ใส่ปูนขาว หมัก หรือทำไว้ไม่ให้เสียโดยวิธีอื่น แต่ต้องไม่ฟอก ไม่ตกแต่งแบบพาร์ชเมนต์ หรือไม่จัดทำมากไปกว่านี้ จะเอาขนออกหรือผ่าหรือไม่ก็ตาม</t>
  </si>
  <si>
    <t>หนังดิบของสัตว์อื่นๆ ใส่เกลือ แห้ง ใส่ปูนขาว หมัก หรือทำไว้ไม่ให้เสียโดยวิธีอื่น แต่ต้องไม่ฟอก ไม่ตกแต่งแบบพาร์ชเมนต์ หรือไม่จัดทำมากไปกว่านี้ จะเอาขนออกหรือผ่าหรือไม่ก็ตาม</t>
  </si>
  <si>
    <t>ผลิตภัณฑ์พลอยได้อื่นๆ จากสัตว์และสัตว์ปีก</t>
  </si>
  <si>
    <t>บริการรับจ้างเหมาที่เป็นส่วนหนึ่งของการผลิตผลิตภัณฑ์พลอยได้จากเนื้อสัตว์และเนื้อสัตว์ปีก</t>
  </si>
  <si>
    <t>ผลิตภัณฑ์อื่นๆ จากเนื้อสัตว์และเนื้อสัตว์ปีก</t>
  </si>
  <si>
    <t>เนื้อสัตว์ ส่วนอื่นของสัตว์หรือเลือดสัตว์ ที่ปรุงแต่งหรือทำไว้ไม่ให้เสียอื่นๆ</t>
  </si>
  <si>
    <t>บริการรับจ้างเหมาที่เป็นส่วนหนึ่งของการผลิตผลิตภัณฑ์อื่นๆ จากเนื้อสัตว์และเนื้อสัตว์ปีก</t>
  </si>
  <si>
    <t>ผลิตภัณฑ์ที่ได้จากการแปรรูปและการถนอมสัตว์น้ำ</t>
  </si>
  <si>
    <t>สัตว์น้ำและผลิตภัณฑ์สัตว์น้ำสด แช่เย็น หรือแช่แข็ง</t>
  </si>
  <si>
    <t>ปลาและผลิตภัณฑ์จากปลาสด แช่เย็น หรือแช่แข็ง</t>
  </si>
  <si>
    <t>ปลาและผลิตภัณฑ์จากปลา สด แช่เย็น หรือแช่แข็ง</t>
  </si>
  <si>
    <t>เนื้อปลาแบบฟิลเลและเนื้อปลาแบบอื่น (ยกเว้นเนื้อปลาบด) รวมถึงตับและไข่ปลา สดหรือแช่เย็น</t>
  </si>
  <si>
    <t>ปลา แช่แข็ง</t>
  </si>
  <si>
    <t>เนื้อปลาแบบฟิลเลและเนื้อปลาแบบอื่น รวมถึงตับและไข่ปลา แช่แข็ง</t>
  </si>
  <si>
    <t>คาร์เวียร์และของที่ใช้แทนคาร์เวียร์</t>
  </si>
  <si>
    <t>บริการรับจ้างเหมาที่เป็นส่วนหนึ่งของการผลิตปลาและผลิตภัณฑ์จากปลา สด แช่เย็น หรือแช่แข็ง</t>
  </si>
  <si>
    <t>สัตว์น้ำและผลิตภัณฑ์สัตว์น้ำ (ยกเว้นปลา) สด แช่เย็น หรือแช่แข็ง</t>
  </si>
  <si>
    <t>สัตว์นํ้าจำพวกครัสตาเซีย (เช่น กุ้ง ปู กั้ง เป็นต้น) จะเอาเปลือกออกหรือไม่ก็ตาม แช่แข็ง</t>
  </si>
  <si>
    <t>สัตว์นํ้าจำพวกโมลลุสก์ (เช่น หอย ปลาหมึก เป็นต้น) จะเอาเปลือกออกหรือไม่ก็ตาม แช่แข็ง</t>
  </si>
  <si>
    <t>สัตว์นํ้าที่ไม่มีกระดูกสันหลังอื่นๆ (เช่น แมงกระพรุน ปลิงทะเล ฯลฯ) แช่แข็ง</t>
  </si>
  <si>
    <t>บริการรับจ้างเหมาที่เป็นส่วนหนึ่งของการผลิตสัตว์น้ำและผลิตภัณฑ์สัตว์น้ำ (ยกเว้นปลา) สด แช่เย็น หรือแช่แข็ง</t>
  </si>
  <si>
    <t>สัตว์น้ำบรรจุกระป๋อง</t>
  </si>
  <si>
    <t>ปลาบรรจุกระป๋อง</t>
  </si>
  <si>
    <t>ปลาที่ปรุงแต่งหรือทำไว้ไม่ให้เสีย บรรจุกระป๋อง</t>
  </si>
  <si>
    <t>บริการที่เป็นส่วนหนึ่งของการผลิตปลาบรรจุกระป๋อง</t>
  </si>
  <si>
    <t>สัตว์น้ำ (ยกเว้นปลา) บรรจุกระป๋อง</t>
  </si>
  <si>
    <t>สัตว์นํ้าจำพวกครัสตาเซีย ที่ปรุงแต่งหรือทำไว้ไม่ให้เสีย บรรจุกระป๋อง</t>
  </si>
  <si>
    <t>สัตว์นํ้าจำพวกโมลลุสก์และสัตว์นํ้าที่ไม่มีกระดูกสันหลังอื่นๆ ที่ปรุงแต่งหรือทำไว้ไม่ให้เสียบรรจุกระป๋อง</t>
  </si>
  <si>
    <t>บริการรับจ้างเหมาที่เป็นส่วนหนึ่งของการผลิตสัตว์น้ำ (ยกเว้นปลา) บรรจุกระป๋อง</t>
  </si>
  <si>
    <t>ผลิตภัณฑ์สัตว์น้ำแปรรูปอื่นๆ</t>
  </si>
  <si>
    <t>ผลิตภัณฑ์สัตว์น้ำที่ทำให้แห้ง รมควัน ทำเค็ม แช่น้ำเกลือหรือน้ำส้มสายชู</t>
  </si>
  <si>
    <t>ผลิตภัณฑ์ปลา ที่ทำให้แห้ง รมควัน ทำเค็ม แช่น้ำเกลือหรือน้ำส้มสายชู</t>
  </si>
  <si>
    <t>เนื้อปลาแบบฟิลเล ที่ทำให้แห้ง ใส่เกลือ แช่นํ้าเกลือหรือน้ำส้มสายชู แต่ไม่รมควัน</t>
  </si>
  <si>
    <t>ตับและไข่ของปลา ที่ทำให้แห้ง รมควัน ใส่เกลือ แช่นํ้าเกลือหรือน้ำส้มสายชู</t>
  </si>
  <si>
    <t>ปลาแห้งแต่ไม่รมควัน ปลาใส่เกลือแต่ไม่แห้งหรือไม่รมควัน และปลาแช่นํ้าเกลือหรือน้ำส้มสายชู</t>
  </si>
  <si>
    <t>ปลารมควัน รวมถึงเนื้อปลาแบบฟิลเลรมควัน</t>
  </si>
  <si>
    <t>ผลิตภัณฑ์สัตว์น้ำอื่นๆ (ยกเว้นปลา) ที่ทำให้แห้ง รมควัน ทำเค็ม แช่น้ำเกลือหรือน้ำส้มสายชู</t>
  </si>
  <si>
    <t>สัตว์น้ำจำพวกครัสตาเซีย ที่ทำให้แห้ง ใส่เกลือ แช่น้ำเกลือหรือน้ำส้มสายชู</t>
  </si>
  <si>
    <t>สัตว์นํ้าจำพวกโมลลุสก์ ที่ทำให้แห้ง ใส่เกลือ แช่นํ้าเกลือหรือน้ำส้มสายชู</t>
  </si>
  <si>
    <t>สัตว์นํ้าที่ไม่มีกระดูกสันหลังอื่นๆ ที่ทำให้แห้ง ใส่เกลือ แช่นํ้าเกลือหรือน้ำส้มสายชู</t>
  </si>
  <si>
    <t>บริการรับจ้างเหมาที่เป็นส่วนหนึ่งของการผลิตผลิตภัณฑ์สัตว์น้ำ ที่ทำให้แห้ง รมควัน ทำเค็ม แช่น้ำเกลือหรือน้ำส้มสายชู</t>
  </si>
  <si>
    <t>ไส้กรอก ลูกชิ้น และผลิตภัณฑ์อื่นที่คล้ายกัน ที่ทำจากสัตว์น้ำ</t>
  </si>
  <si>
    <t>ไส้กรอก ลูกชิ้น และผลิตภัณฑ์อื่นที่คล้ายกัน ที่ทำจากปลา</t>
  </si>
  <si>
    <t>ไส้กรอก ลูกชิ้น และผลิตภัณฑ์อื่นที่คล้ายกัน ที่ทำจากปลา (ยกเว้นเนื้อปลาบด)</t>
  </si>
  <si>
    <t>เนื้อปลาบด</t>
  </si>
  <si>
    <t>ไส้กรอก ลูกชิ้น และผลิตภัณฑ์อื่นที่คล้ายกัน ที่ทำจากสัตว์นํ้าอื่นๆ (ยกเว้นปลา)</t>
  </si>
  <si>
    <t>ไส้กรอก ลูกชิ้น และผลิตภัณฑ์อื่นที่คล้ายกัน ที่ทำจากสัตว์นํ้าจำพวก</t>
  </si>
  <si>
    <t>ไส้กรอก ลูกชิ้น และผลิตภัณฑ์อื่นที่คล้ายกัน ที่ทำจากสัตว์นํ้าจำพวกโมลลุสก์และสัตว์นํ้าที่ไม่มีกระดูกสันหลังอื่นๆ เช่น หอยแมลงภู่ หอยลาย ปลาหมึก เป็นต้น</t>
  </si>
  <si>
    <t>บริการรับจ้างเหมาที่เป็นส่วนหนึ่งของการผลิตไส้กรอก ลูกชิ้น และผลิตภัณฑ์อื่นที่คล้ายกัน ที่ทำจากสัตว์น้ำ</t>
  </si>
  <si>
    <t>น้ำปลาและผลิตภัณฑ์สัตว์น้ำที่ได้จากการหมัก</t>
  </si>
  <si>
    <t>น้ำปลาและผลิตภัณฑ์ปลาที่ได้จากการหมัก</t>
  </si>
  <si>
    <t>น้ำปลา</t>
  </si>
  <si>
    <t>ผลิตภัณฑ์ปลาที่ได้จากการหมัก เช่น ปลาร้า</t>
  </si>
  <si>
    <t>ผลิตภัณฑ์สัตว์นํ้าอื่นๆ ที่ได้จากการหมัก</t>
  </si>
  <si>
    <t>กะปิ</t>
  </si>
  <si>
    <t>ผลิตภัณฑ์ที่สัตว์นํ้าจำพวกครัสตาเซียที่ได้จากการหมัก</t>
  </si>
  <si>
    <t>ผลิตภัณฑ์สัตว์นํ้าจำพวกโมลลุสก์และสัตว์นํ้าที่ไม่มีกระดูกสันหลังอื่นๆที่ได้จากการหมัก</t>
  </si>
  <si>
    <t>บริการรับจ้างเหมาที่เป็นส่วนหนึ่งของการผลิตน้ำปลาและผลิตภัณฑ์สัตว์น้ำที่ได้จากการหมัก</t>
  </si>
  <si>
    <t>ปลาป่นสำหรับใช้เป็นอาหารสัตว์</t>
  </si>
  <si>
    <t>ปลาป่น สัตว์นํ้าจำพวกครัสตาเซียโมลลุสก์หรือสัตว์นํ้าที่ไม่มีกระดูกสันหลังอื่นๆ สำหรับใช้เป็นอาหารสัตว์</t>
  </si>
  <si>
    <t>บริการรับจ้างเหมาที่เป็นส่วนหนึ่งของการผลิตปลาป่นสำหรับใช้เป็นอาหารสัตว์</t>
  </si>
  <si>
    <t>ผลิตภัณฑ์ที่ทำจากสาหร่าย</t>
  </si>
  <si>
    <t>ผลิตภัณฑ์สัตว์น้ำแปรรูปอื่นๆ ซึ่งมิได้จัดประเภทไว้ในที่อื่น</t>
  </si>
  <si>
    <t>ผลิตภัณฑ์อาหารสำเร็จรูปที่ทำจากสัตว์น้ำเป็นหลัก</t>
  </si>
  <si>
    <t>ปลาที่ป่นและที่ทำเป็นเพลเลตซึ่งเหมาะสำหรับมนุษย์บริโภค</t>
  </si>
  <si>
    <t xml:space="preserve">ผลิตภัณฑ์ที่ได้จากปลาหรือสัตว์นํ้าจำพวกครัสตาเซียโมลลุสก์หรือสัตว์นํ้าที่ไม่มีกระดูกสันหลังอื่นๆ ซึ่งไม่เหมาะสำหรับมนุษย์บริโภค </t>
  </si>
  <si>
    <t>บริการรับจ้างเหมาที่เป็นส่วนหนึ่งของการผลิตผลิตภัณฑ์สัตว์น้ำแปรรูปอื่นๆ ซึ่งมิได้จัดประเภทไว้ในที่อื่น</t>
  </si>
  <si>
    <t>ผลิตภัณฑ์ที่ได้จากการแปรรูปและการถนอมผลไม้และผัก</t>
  </si>
  <si>
    <t>ผลไม้และผักแช่แข็ง</t>
  </si>
  <si>
    <t>ผักดิบหรือทำให้สุกโดยการนึ่งหรือต้ม แช่แข็ง (ยกเว้นมันฝรั่ง)</t>
  </si>
  <si>
    <t>ผลไม้ดิบหรือทำให้สุกโดยการนึ่งหรือต้ม แช่แข็ง เช่น สตรอเบอร์รี่ราสพ์เบอร์รี่ แบล็กเบอร์รี่ มัลเบอร์รี่ โลแกนเบอร์รี่ สับปะรด ทุเรียน ลำไย มังคุด เป็นต้น</t>
  </si>
  <si>
    <t>วัตถุที่ได้จากพืช เศษพืช กากและผลพลอยได้จากการผลิตผลไม้และผักแช่แข็ง จะทำเป็นเพลเลตหรือไม่ก็ตาม ชนิดที่ใช้ในการเลี้ยงสัตว์ ซึ่งมิได้จัดประเภทไว้ในที่อื่น</t>
  </si>
  <si>
    <t xml:space="preserve">บริการรับจ้างเหมาที่เป็นส่วนหนึ่งของการผลิตผลไม้และผักแช่แข็ง </t>
  </si>
  <si>
    <t>ผลไม้และผักบรรจุกระป๋อง</t>
  </si>
  <si>
    <t>ผักอื่นๆ (ยกเว้นมันฝรั่ง) ที่ปรุงแต่งหรือทำไว้ไม่ให้เสียโดยวิธีอื่น (ยกเว้นใช้นํ้าส้มสายชูหรือกรดอะซิติก) บรรจุกระป๋อง เช่น มะกอก เห็ด ข้าวโพดหวาน เป็นต้น</t>
  </si>
  <si>
    <t>ถั่วบีน (ชนิดวิกนาและชนิดฟาซิโอลัส) ที่ปรุงแต่งหรือทำไว้ไม่ให้เสียโดยวิธีอื่น (ยกเว้นใช้นํ้าส้มสายชูหรือกรดอะซิติก) บรรจุกระป๋อง</t>
  </si>
  <si>
    <t>ถั่วลันเตา ที่ปรุงแต่งหรือทำไว้ไม่ให้เสียโดยวิธีอื่น (ยกเว้นใช้นํ้าส้มสายชูหรือกรดอะซิติก) บรรจุกระป๋อง</t>
  </si>
  <si>
    <t>เห็ดชนิดมัชรูมและชนิดทรัฟเฟิล ที่ปรุงแต่งหรือทำไว้ไม่ให้เสียโดยวิธีอื่น (ยกเว้นใช้นํ้าส้มสายชูหรือกรดอะซิติก) บรรจุกระป๋อง</t>
  </si>
  <si>
    <t>ผักอื่นๆ ที่ปรุงแต่งหรือทำไว้ไม่ให้เสียโดยวิธีอื่น (ยกเว้นใช้นํ้าส้มสายชูหรือกรดอะซิติก) บรรจุกระป๋อง ซึ่งมิได้จัดประเภทไว้ในที่อื่น</t>
  </si>
  <si>
    <t>ผลไม้บรรจุกระป๋อง เช่น สับปะรด ผลไม้จำพวกส้ม แพร์ เชอรี่ ท้อ สตรอเบอร์รี่ ลิ้นจี่ ลำไย เงาะ เป็นต้น</t>
  </si>
  <si>
    <t>สับปะรดบรรจุกระป๋อง</t>
  </si>
  <si>
    <t>ท้อ/ลูกพีชบรรจุกระป๋อง</t>
  </si>
  <si>
    <t>ผลไม้อื่นๆ ซึ่งมิได้จัดประเภทไว้ในที่อื่น บรรจุกระป๋อง</t>
  </si>
  <si>
    <t>วัตถุที่ได้จากพืช เศษพืช กากและผลพลอยได้จากการผลิตผลไม้และผักบรรจุกระป๋อง จะทำเป็นเพลเลตหรือไม่ก็ตาม ชนิดที่ใช้ในการเลี้ยงสัตว์ ซึ่งมิได้จัดประเภทไว้ในที่อื่น</t>
  </si>
  <si>
    <t>บริการรับจ้างเหมาที่เป็นส่วนหนึ่งของการผลิตผักและผลไม้บรรจุกระป๋อง</t>
  </si>
  <si>
    <t>น้ำผลไม้และน้ำผัก</t>
  </si>
  <si>
    <t>น้ำผัก</t>
  </si>
  <si>
    <t>น้ำมะเขือเทศ</t>
  </si>
  <si>
    <t>น้ำผักผสม</t>
  </si>
  <si>
    <t>น้ำผักอื่นๆ ซึ่งมิได้จัดประเภทไว้ในทื่อื่น</t>
  </si>
  <si>
    <t>น้ำผลไม้</t>
  </si>
  <si>
    <t>นํ้าส้ม</t>
  </si>
  <si>
    <t>นํ้าเกรปฟรุ๊ต (รวมถึงน้ำส้มโอ)</t>
  </si>
  <si>
    <t>นํ้าสับปะรด</t>
  </si>
  <si>
    <t>นํ้าองุ่น</t>
  </si>
  <si>
    <t>นํ้าแอปเปิ้ล</t>
  </si>
  <si>
    <t>น้ำผลไม้ผสม</t>
  </si>
  <si>
    <t>นํ้าผลไม้อื่นๆ ซึ่งมิได้จัดประเภทไว้ในทื่อื่น เช่น น้ำแบล็กเคอร์แรนต์ เป็นต้น</t>
  </si>
  <si>
    <t>น้ำผักผสมน้ำผลไม้</t>
  </si>
  <si>
    <t>วัตถุที่ได้จากพืช เศษพืช กากและผลพลอยได้จากการผลิตน้ำผลไม้และน้ำผัก จะทำเป็นเพลเลตหรือไม่ก็ตาม ชนิดที่ใช้ในการเลี้ยงสัตว์ ซึ่งมิได้จัดประเภทไว้ในที่อื่น</t>
  </si>
  <si>
    <t>บริการรับจ้างเหมาที่เป็นส่วนหนึ่งของการผลิตน้ำผลไม้และน้ำผัก</t>
  </si>
  <si>
    <t>ผลิตภัณฑ์ที่ได้จากการถนอมผลไม้และผัก โดยทำให้แห้ง ทำเค็ม แช่ในน้ำมันหรือน้ำส้มสายชู</t>
  </si>
  <si>
    <t>พืชผักแห้ง ทั้งต้นหรือทั้งหัว ตัดฝาน ทำให้แตก หรือเป็นผง แต่ต้องไม่จัดทำมากไปกว่านี้ (ยกเว้นมันฝรั่ง) เช่น หอมหัวใหญ่ เห็ดชนิดมัชรูม เห็ดหูหนู เจลลีฟังไจ เห็ดชนิดทรัฟเฟิล หอมหัวเล็ก กระเทียม หน่อไม้ เป็นต้น</t>
  </si>
  <si>
    <t>พืชผัก (ยกเว้นมันฝรั่ง) ที่ปรุงแต่งหรือทำไว้ไม่ให้เสียโดยวิธีอื่น</t>
  </si>
  <si>
    <t>พืชผัก ที่ปรุงแต่งหรือทำไว้ไม่ให้เสียโดยใช้นํ้าส้มสายชูหรือกรดอะซิติก เช่น แตงกวา แตงร้าน หัวหอมใหญ่ เป็นต้น</t>
  </si>
  <si>
    <t>พืชผัก (ยกเว้นมันฝรั่ง) ที่ปรุงแต่งหรือทำไว้ไม่ให้เสียโดยวิธีอื่น (ยกเว้นใช้นํ้าส้มสายชูหรือกรดอะซิติก) ซึ่งมิได้จัดประเภทไว้ในที่อื่น</t>
  </si>
  <si>
    <t>พืชผัก (ยกเว้นมันฝรั่ง) ที่ทำไว้ไม่ให้เสียชั่วคราว (เช่น รมด้วยก๊าซซัลเฟอร์ไดออกไซด์ แช่นํ้าเกลือ แช่นํ้ากำมะถัน หรือแช่นํ้ายากันเสียอื่นๆ) ในสภาพที่ไม่เหมาะสำหรับบริโภคทันที</t>
  </si>
  <si>
    <t>ผลไม้แห้ง</t>
  </si>
  <si>
    <t>องุ่นแห้ง</t>
  </si>
  <si>
    <t>พรุนแห้ง</t>
  </si>
  <si>
    <t>ผลไม้แห้งอื่นๆ ซึ่งมิได้จัดประเภทไว้ในที่อื่น</t>
  </si>
  <si>
    <t>ผลไม้ที่ทำไว้ไม่ให้เสียชั่วคราว (เช่น รมด้วยก๊าชซัลเฟอร์ไดออกไซด์ แช่นํ้าเกลือ แช่นํ้ากำมะถัน หรือนํ้ายากันเสียอื่นๆ) ในสภาพที่ไม่เหมาะสำหรับบริโภคทันที</t>
  </si>
  <si>
    <t>ผลไม้ที่ปรุงแต่งหรือทำไว้ไม่ให้เสียโดยวิธีอื่น ซึ่งมิได้จัดประเภทไว้ในที่อื่น (ยกเว้นโดยใช้น้ำตาล)</t>
  </si>
  <si>
    <t>ผลไม้ที่ปรุงแต่งหรือทำไว้ไม่ให้เสียโดยใช้นํ้าส้มสายชูหรือกรดอะซิติก</t>
  </si>
  <si>
    <t>ผลไม้ที่ปรุงแต่งหรือทำไว้ไม่ให้เสียโดยวิธีอื่น (ยกเว้นโดยใช้น้ำตาล)</t>
  </si>
  <si>
    <t>วัตถุที่ได้จากพืช เศษพืช กากและผลพลอยได้ จากการผลิตผลิตภัณฑ์ ที่ได้จากการถนอมผลไม้และผัก โดยทำให้แห้ง ทำเค็ม แช่ในน้ำมันหรือน้ำส้มสายชู จะทำเป็นเพลเลตหรือไม่ก็ตาม ชนิดที่ใช้ในการเลี้ยงสัตว์ ซึ่งมิได้จัดประเภทไว้ในที่อื่น</t>
  </si>
  <si>
    <t>บริการรับจ้างเหมาที่เป็นส่วนหนึ่งของการถนอมผลไม้และผัก โดยทำให้แห้ง ทำเค็ม แช่ในน้ำมันหรือน้ำส้มสายชู</t>
  </si>
  <si>
    <t>แยม มาร์มาเลด และเยลลี</t>
  </si>
  <si>
    <t>แยม มาร์มาเลด และเยลลี  รวมถึงผลไม้กวน</t>
  </si>
  <si>
    <t>วัตถุที่ได้จากพืช เศษพืช กากและผลพลอยได้จากการผลิตแยม เยลลีและมาร์มาเลด จะทำเป็นเพลเลตหรือไม่ก็ตาม ชนิดที่ใช้ในการเลี้ยงสัตว์ ซึ่งมิได้จัดประเภทไว้ในที่อื่น</t>
  </si>
  <si>
    <t>บริการรับจ้างเหมาที่เป็นส่วนหนึ่งของการผลิตแยม มาร์มาเลด และเยลลี</t>
  </si>
  <si>
    <t>ผลิตภัณฑ์ที่ได้จากการแปรรูปและการถนอมมันฝรั่ง</t>
  </si>
  <si>
    <t>มันฝรั่ง แช่แข็ง</t>
  </si>
  <si>
    <t>มันฝรั่งแห้ง ทั้งต้นหรือทั้งหัว ตัด ฝาน ทำให้แตก หรือเป็นผง แต่ต้องไม่จัดทำมากไปกว่านี้</t>
  </si>
  <si>
    <t>แป้ง แป้งหยาบ ผง เกล็ด เม็ด และเพลเลต ที่ทำจากมันฝรั่ง</t>
  </si>
  <si>
    <t>มันฝรั่งที่ปรุงแต่งหรือทำไว้ไม่ให้เสียโดยวิธีอื่น (ยกเว้นใช้นํ้าส้มสายชูหรือกรดอะซิติก) ไม่ได้แช่เย็นจนแข็ง</t>
  </si>
  <si>
    <t>มันฝรั่งที่ทำไว้ไม่ให้เสียชั่วคราว (เช่น รมด้วยก๊าซซัลเฟอร์ไดออกไซด์ แช่นํ้าเกลือ แช่นํ้ากำมะถัน หรือแช่นํ้ายากันเสียอื่นๆ) ในสภาพที่ไม่เหมาะสำหรับบริโภคทันที</t>
  </si>
  <si>
    <t>บริการรับจ้างเหมาที่เป็นส่วนหนึ่งของการผลิตผลิตภัณฑ์ที่ได้จากการแปรรูปและการถนอมมันฝรั่ง</t>
  </si>
  <si>
    <t>ผลิตภัณฑ์จากผลไม้เปลือกแข็ง (นัท)</t>
  </si>
  <si>
    <t>ผลไม้เปลือกแข็ง (นัท) กวน</t>
  </si>
  <si>
    <t>ผลไม้เปลือกแข็ง (นัท) ที่คั่ว ใส่เกลือ หรือปรุงแต่งหรือทำไว้ไม่ให้เสียโดยวิธีอื่น ซึ่งมิได้จัดประเภทไว้ในที่อื่น เช่น ถั่วลิสงคั่ว อบ หรือปิ้ง พีนัตบัตเตอร์ เมล็ดอัลมอนด์คั่วแล้ว เป็นต้น</t>
  </si>
  <si>
    <t>ผลไม้เปลือกแข็ง (นัท) ที่ทำไว้ไม่ให้เสียชั่วคราว (เช่น รมด้วยก๊าชซัลเฟอร์ไดออกไซด์ แช่นํ้าเกลือ แช่นํ้ากำมะถัน หรือนํ้ายากันเสียอื่นๆ) ในสภาพที่ไม่เหมาะสำหรับบริโภคทันที</t>
  </si>
  <si>
    <t>วัตถุที่ได้จากพืช เศษพืช กากและผลพลอยได้จากการผลิตผลิตภัณฑ์จากผลไม้เปลือกแข็ง (นัท) จะทำเป็นเพลเลตหรือไม่ก็ตาม ชนิดที่ใช้ในการเลี้ยงสัตว์ ซึ่งมิได้จัดประเภทไว้ในที่อื่น</t>
  </si>
  <si>
    <t>บริการรับจ้างเหมาที่เป็นส่วนหนึ่งของการผลิตผลิตภัณฑ์จากผลไม้เปลือกแข็ง (นัท)</t>
  </si>
  <si>
    <t>ผลิตภัณฑ์จากการแปรรูปและการถนอมผลไม้และผักด้วยวิธีอื่นๆ</t>
  </si>
  <si>
    <t>เนื้อมะพร้าวแห้ง (โคปรา)</t>
  </si>
  <si>
    <t>ผักและผลไม้ที่ปอกหรือหั่นเป็นชิ้นแล้ว</t>
  </si>
  <si>
    <t>เต้าหู้ เต้าหู้แห้ง และเต้าหู้แท่ง</t>
  </si>
  <si>
    <t>ผลิตภัณฑ์จากการแปรรูปและการถนอมผลไม้และผักด้วยวิธีอื่นๆ ซึ่งมิได้จัดประเภทไว้ในที่อื่น</t>
  </si>
  <si>
    <t>วัตถุที่ได้จากพืช เศษพืช กากและผลพลอยได้จากการผลิตผลิตภัณฑ์จากการแปรรูปและการถนอมผลไม้และผักด้วยวิธีอื่นๆ จะทำเป็น เพลเลตหรือไม่ก็ตาม ชนิดที่ใช้ในการเลี้ยงสัตว์ ซึ่งมิได้จัดประเภทไว้ในที่อื่น</t>
  </si>
  <si>
    <t xml:space="preserve">บริการรับจ้างเหมาที่เป็นส่วนหนึ่งของการผลิตเต้าหู้ การแปรรูป และการถนอมผลไม้และผักด้วยวิธีอื่นๆ </t>
  </si>
  <si>
    <t>บริการรับจ้างเหมาที่เป็นส่วนหนึ่งของการผลิตเต้าหู้ การแปรรูป และการถนอมผลไม้และผักด้วยวิธีอื่นๆ</t>
  </si>
  <si>
    <t>น้ำมันและไขมันจากพืชและสัตว์</t>
  </si>
  <si>
    <t>น้ำมันพืช (ยกเว้นน้ำมันปาล์ม)</t>
  </si>
  <si>
    <t>น้ำมันถั่วเหลือง</t>
  </si>
  <si>
    <t>น้ำมันถั่วเหลืองดิบ</t>
  </si>
  <si>
    <t>นํ้ามันถั่วเหลืองและแฟรกชันของนํ้ามันถั่วเหลือง จะทำให้บริสุทธิ์หรือไม่ก็ตาม แต่ต้องไม่ดัดแปลงทางเคมี</t>
  </si>
  <si>
    <t>นํ้ามันถั่วเหลืองและแฟรกชันของน้ำมันถั่วเหลือง ที่ผ่านกรรมวิธี ไฮโดรจีเนชันเพียงบางส่วนหรือทั้งหมด ที่ผ่านกรรมวิธีอินเตอร์เอสเทอ-ริฟิเคชัน รีเอสเตอริฟิเคชัน หรือกรรมวิธีอิเลดิไนเซชัน จะทำให้บริสุทธิ์หรือไม่ก็ตาม แต่ต้องไม่จัดทำมากไปกว่านี้</t>
  </si>
  <si>
    <t>กากนํ้ามัน (ออยล์เค้ก) และกากแข็งอื่นๆ ที่ได้จากการสกัดนํ้ามัน ถั่วเหลือง จะบดหรือทำเป็นเพลเลตหรือไม่ก็ตาม</t>
  </si>
  <si>
    <t>บริการรับจ้างเหมาที่เป็นส่วนหนึ่งของการผลิตน้ำมันถั่วเหลือง</t>
  </si>
  <si>
    <t>น้ำมันรำข้าว</t>
  </si>
  <si>
    <t>น้ำมันรำข้าวดิบ</t>
  </si>
  <si>
    <t>นํ้ามันรำข้าวและแฟรกชันของนํ้ามันรำข้าว จะทำให้บริสุทธิ์หรือไม่ก็ตาม แต่ต้องไม่ดัดแปลงทางเคมี</t>
  </si>
  <si>
    <t>น้ำมันรำข้าวและแฟรกชันของน้ำมันรำข้าว ที่ผ่านกรรมวิธีไฮโดรจีเนชันเพียงบางส่วนหรือทั้งหมด ที่ผ่านกรรมวิธีอินเตอร์เอสเทอริฟิเคชัน      รีเอสเตอริฟิเคชัน หรือกรรมวิธีอิเลดิไนเซชัน จะทำให้บริสุทธิ์หรือไม่ก็ตาม แต่ต้องไม่จัดทำมากไปกว่านี้</t>
  </si>
  <si>
    <t>กากนํ้ามัน (ออยล์เค้ก) และกากแข็งอื่นๆ ที่ได้จากการสกัดนํ้ามันรำข้าวจะบดหรือทำเป็นเพลเลตหรือไม่ก็ตาม</t>
  </si>
  <si>
    <t>บริการรับจ้างเหมาที่เป็นส่วนหนึ่งของการผลิตน้ำมันรำข้าว</t>
  </si>
  <si>
    <t>น้ำมันข้าวโพด</t>
  </si>
  <si>
    <t>น้ำมันข้าวโพดดิบ</t>
  </si>
  <si>
    <t>นํ้ามันข้าวโพดและแฟรกชันของนํ้ามันข้าวโพด จะทำให้บริสุทธิ์หรือไม่ก็ตาม แต่ต้องไม่ดัดแปลงทางเคมี</t>
  </si>
  <si>
    <t>น้ำมันข้าวโพดและแฟรกชันของน้ำมันข้าวโพด ที่ผ่านกรรมวิธี ไฮโดรจีเนชันเพียงบางส่วนหรือทั้งหมด ที่ผ่านกรรมวิธีอินเตอร์เอสเทอ-ริฟิเคชัน รีเอสเตอริฟิเคชัน หรือกรรมวิธีอิเลดิไนเซชัน จะทำให้บริสุทธิ์หรือไม่ก็ตาม แต่ต้องไม่จัดทำมากไปกว่านี้</t>
  </si>
  <si>
    <t>กากนํ้ามัน (ออยล์เค้ก) และกากแข็งอื่นๆ ที่ได้จากการสกัดนํ้ามันข้าวโพด จะบดหรือทำเป็นเพลเลตหรือไม่ก็ตาม</t>
  </si>
  <si>
    <t>บริการรับจ้างเหมาที่เป็นส่วนหนึ่งของการผลิตน้ำมันข้าวโพด</t>
  </si>
  <si>
    <t>น้ำมันมะพร้าว</t>
  </si>
  <si>
    <t>น้ำมันมะพร้าวดิบ</t>
  </si>
  <si>
    <t>นํ้ามันมะพร้าวและแฟรกชันของนํ้ามันมะพร้าว จะทำให้บริสุทธิ์หรือไม่ก็ตาม แต่ต้องไม่ดัดแปลงทางเคมี</t>
  </si>
  <si>
    <t>น้ำมันมะพร้าวและแฟรกชันของน้ำมันมะพร้าวที่ผ่านกรรมวิธีไฮโดร-จีเนชันเพียงบางส่วนหรือทั้งหมด ที่ผ่านกรรมวิธีอินเตอร์เอสเทอริฟิ- เคชัน รีเอสเตอริฟิเคชัน หรือกรรมวิธีอิเลดิไนเซชัน จะทำให้บริสุทธิ์หรือไม่ก็ตาม แต่ต้องไม่จัดทำมากไปกว่านี้</t>
  </si>
  <si>
    <t>กากนํ้ามัน (ออยล์เค้ก) และกากแข็งอื่นๆ ที่ได้จากการสกัดนํ้ามันมะพร้าว จะบดหรือทำเป็นเพลเลตหรือไม่ก็ตาม</t>
  </si>
  <si>
    <t>บริการรับจ้างเหมาที่เป็นส่วนหนึ่งของการผลิตน้ำมันมะพร้าว</t>
  </si>
  <si>
    <t>น้ำมันพืชอื่นๆ (ยกเว้นน้ำมันปาล์ม)</t>
  </si>
  <si>
    <t>น้ำมันพืชอื่นๆ (ยกเว้นน้ำมันปาล์ม) ดิบ</t>
  </si>
  <si>
    <t>น้ำมันถั่วลิสงดิบ</t>
  </si>
  <si>
    <t>น้ำมันมะกอกดิบ</t>
  </si>
  <si>
    <t>น้ำมันดิบที่ได้จากเมล็ดทานตะวัน</t>
  </si>
  <si>
    <t>น้ำมันดิบที่ได้จากเมล็ดฝ้าย</t>
  </si>
  <si>
    <t>น้ำมันเรปดิบ น้ำมันโคลซาดิบ และน้ำมันมัสตาร์ดดิบ</t>
  </si>
  <si>
    <t>น้ำมันพืชอื่นๆ (ยกเว้นน้ำมันปาล์ม) ดิบ ซึ่งมิได้จัดประเภทไว้ในที่อื่น เช่น นํ้ามันลินสีด นํ้ามันละหุ่ง นํ้ามันงา น้ำมันเต็งกาวัง เป็นต้น</t>
  </si>
  <si>
    <t>น้ำมันพืชอื่นๆ (ยกเว้นน้ำมันปาล์ม) และแฟรกชันของน้ำมันดังกล่าวจะทำให้บริสุทธิ์หรือไม่ก็ตาม แต่ต้องไม่ดัดแปลงทางเคมี</t>
  </si>
  <si>
    <t>น้ำมันถั่วลิสงและแฟรกชันของน้ำมันถั่วลิสง จะทำให้บริสุทธิ์หรือไม่ก็ตาม แต่ต้องไม่ดัดแปลงทางเคมี</t>
  </si>
  <si>
    <t>น้ำมันมะกอกและแฟรกชันของน้ำมันมะกอก จะทำให้บริสุทธิ์หรือไม่ก็ตาม แต่ต้องไม่ดัดแปลงทางเคมี</t>
  </si>
  <si>
    <t>น้ำมันที่ได้จากเมล็ดทานตะวันและแฟรกชันของน้ำมันดังกล่าว จะทำให้บริสุทธิ์หรือไม่ก็ตาม แต่ต้องไม่ดัดแปลงทางเคมี</t>
  </si>
  <si>
    <t>น้ำมันเมล็ดฝ้ายและแฟรกชันของน้ำมันดังกล่าว จะทำให้บริสุทธิ์หรือไม่ก็ตาม แต่ต้องไม่ดัดแปลงทางเคมี</t>
  </si>
  <si>
    <t>น้ำมันเรป น้ำมันโคลซา และน้ำมันมัสตาร์ด และแฟรกชันของน้ำมันดังกล่าว จะทำให้บริสุทธิ์หรือไม่ก็ตาม แต่ต้องไม่ดัดแปลงทางเคมี</t>
  </si>
  <si>
    <t>น้ำมันพืชอื่นๆ (ยกเว้นน้ำมันปาล์ม) และแฟรกชันของน้ำมันดังกล่าว ซึ่งมิได้จัดประเภทไว้ในที่อื่น เช่น นํ้ามันลินสีด น้ำมันละหุ่ง นํ้ามันงา น้ำมันเต็งกาวัง เป็นต้น</t>
  </si>
  <si>
    <t>น้ำมันพืชอื่นๆ (ยกเว้นน้ำมันปาล์ม) และแฟรกชันของน้ำมันดังกล่าว ที่ผ่านกรรมวิธีไฮโดรจีเนชันเพียงบางส่วนหรือทั้งหมด ที่ผ่านกรรมวิธีอินเตอร์เอสเทอริฟิเคชัน รีเอสเตอริฟิเคชัน หรือกรรมวิธีอิเลดิไนเซชันจะทำให้บริสุทธิ์หรือไม่ก็ตาม แต่ต้องไม่จัดทำมากไปกว่านี้</t>
  </si>
  <si>
    <t>ผลพลอยได้จากการผลิตน้ำมันพืชอื่นๆ (ยกเว้นน้ำมันปาล์ม)</t>
  </si>
  <si>
    <t>ปุยฝ้าย</t>
  </si>
  <si>
    <t>กากนํ้ามัน (ออยล์เค้ก) และกากแข็งอื่นๆ ที่ได้จากการสกัดนํ้ามันพืชอื่นๆ (ยกเว้นน้ำมันปาล์ม) จะบดหรือทำเป็นเพลเลตหรือไม่ก็ตาม</t>
  </si>
  <si>
    <t>บริการรับจ้างเหมาที่เป็นส่วนหนึ่งของการผลิตน้ำมันพืชอื่นๆ (ยกเว้นน้ำมันปาล์ม)</t>
  </si>
  <si>
    <t>น้ำมันปาล์ม</t>
  </si>
  <si>
    <t>น้ำมันปาล์มและน้ำมันเนื้อในเมล็ดปาล์มดิบ</t>
  </si>
  <si>
    <t>นํ้ามันปาล์ม น้ำมันเนื้อในเมล็ดปาล์ม น้ำมันบาบาสสุ และแฟรกชันของนํ้ามันดังกล่าว จะทำให้บริสุทธิ์หรือไม่ก็ตาม แต่ต้องไม่ดัดแปลงทางเคมี</t>
  </si>
  <si>
    <t>น้ำมันปาล์มและแฟรกชันของน้ำมันปาล์มอื่นๆ ที่ผ่านกรรมวิธีไฮโดร-จีเนชันเพียงบางส่วนหรือทั้งหมด ที่ผ่านกรรมวิธีอินเตอร์เอสเทอริฟิ- เคชัน รีเอสเตอริฟิเคชัน หรือกรรมวิธีอิเลดิไนเซชัน จะทำให้บริสุทธิ์หรือไม่ก็ตาม แต่ต้องไม่จัดทำมากไปกว่านี้</t>
  </si>
  <si>
    <t>กากนํ้ามัน (ออยล์เค้ก) และกากแข็งอื่นๆ ที่ได้จากการสกัดนํ้ามันปาล์ม จะบดหรือทำเป็นเพลเลตหรือไม่ก็ตาม</t>
  </si>
  <si>
    <t>บริการรับจ้างเหมาที่เป็นส่วนหนึ่งของการผลิตน้ำมันปาล์ม</t>
  </si>
  <si>
    <t>น้ำมันและไขมันจากสัตว์และผลิตภัณฑ์อื่นๆ ที่ได้จากน้ำมันพืช</t>
  </si>
  <si>
    <t>น้ำมันและไขมันจากสัตว์</t>
  </si>
  <si>
    <t>น้ำมันและไขมันจากสัตว์ รวมถึงแฟรกชันของของดังกล่าว</t>
  </si>
  <si>
    <t>ไขมัน (สเตียริน) และไขมันเหลว (ออยล์) ของนํ้ามันหมู (ลาร์ด) และของไขมันสัตว์อื่นๆ นํ้ามันไขสัตว์ (แทลโลออยล์) ที่ไม่ทำให้กระจายตัว (อิมัลซิไฟด์) หรือไม่ผสม หรือจัดทำโดยวิธีอื่น</t>
  </si>
  <si>
    <t>นํ้ามันตับปลาและแฟรกชันของนํ้ามันตับปลา</t>
  </si>
  <si>
    <t>ไขมันและนํ้ามันของปลาและสัตว์ทะเลจำพวกเลี้ยงลูกด้วยนมและแฟรกชันของของดังกล่าว (ยกเว้นนํ้ามันตับปลา)</t>
  </si>
  <si>
    <t>ไขมันและนํ้ามันอื่นๆ ที่ได้จากสัตว์และแฟรกชันของของดังกล่าว จะทำให้บริสุทธิ์หรือไม่ก็ตาม แต่ต้องไม่ดัดแปลงทางเคมี</t>
  </si>
  <si>
    <t>ไขที่ได้จากสัตว์ ไขเด็กกราส และกากที่เหลือจากการนำสารไขมันหรือไขที่ได้จากสัตว์ไปผ่านกรรรมวิธี</t>
  </si>
  <si>
    <t>ขี้ผึ้งไขที่ได้จากแมลงอื่นๆ และไขปลาวาฬ จะทำให้บริสุทธิ์หรือแต่งสีหรือไม่ก็ตาม</t>
  </si>
  <si>
    <t>ไขสัตว์ (แทลโล) ที่บริโภคไม่ได้</t>
  </si>
  <si>
    <t>ไขเด็กกราส กากที่เหลือจากการนำสารไขมันหรือไขที่ได้จากสัตว์ไปผ่านกรรมวิธี</t>
  </si>
  <si>
    <t>บริการรับจ้างเหมาที่เป็นส่วนหนึ่งของการผลิตน้ำมันและไขมันจากสัตว์</t>
  </si>
  <si>
    <t>ผลิตภัณฑ์อื่นๆ ที่ได้จากน้ำมันพืช ซึ่งมิได้จัดประเภทไว้ในที่อื่น</t>
  </si>
  <si>
    <t>เนยเทียมและของผสมหรือของปรุงแต่งที่บริโภคได้ ที่ได้จากไขมันหรือนํ้ามันของสัตว์หรือของพืช</t>
  </si>
  <si>
    <t>แป้งและแป้งหยาบที่ทำจากเมล็ดพืชและผลไม้ที่มีนํ้ามัน (ยกเว้นที่ทำจากมัสตาร์ด)</t>
  </si>
  <si>
    <t>ไขที่ได้จากพืช (ยกเว้นไตรกลีเซอไรด์) และกากที่เหลือจากการนำสารไขมันหรือไขที่ได้จากพืชไปผ่านกรรรมวิธี</t>
  </si>
  <si>
    <t>ไขที่ได้จากพืช (ยกเว้นไตรกลีเซอไรด์)</t>
  </si>
  <si>
    <t>กากที่เหลือจากการนำสารไขมันหรือไขที่ได้จากพืชไปผ่านกรรมวิธี</t>
  </si>
  <si>
    <t>บริการรับจ้างเหมาที่เป็นส่วนหนึ่งของการผลิตผลิตภัณฑ์อื่นๆ ที่ได้จากน้ำมันพืช ซึ่งมิได้จัดประเภทไว้ในที่อื่น</t>
  </si>
  <si>
    <t>ผลิตภัณฑ์นม</t>
  </si>
  <si>
    <t>นมสด นมพาสเจอไรส์ นมสเตอริไลส์ นมโฮโมจีไนส์ และ/หรือยูเอชที</t>
  </si>
  <si>
    <t>บริการรับจ้างเหมาที่เป็นส่วนหนึ่งของการผลิตผลิตภัณฑ์นม</t>
  </si>
  <si>
    <t>นมข้นหรือนมผง</t>
  </si>
  <si>
    <t>นม เป็นผง เม็ด หรือเป็นลักษณะของแข็งอื่นๆ</t>
  </si>
  <si>
    <t>หางนมผง</t>
  </si>
  <si>
    <t>นมผงครบส่วน</t>
  </si>
  <si>
    <t>นม ที่ทำให้เข้มข้น หรือเติมนํ้าตาล หรือสารทำให้หวานอื่นๆ (ยกเว้นลักษณะของแข็ง)</t>
  </si>
  <si>
    <t>นมข้นจืด</t>
  </si>
  <si>
    <t>นมข้นหวาน</t>
  </si>
  <si>
    <t>นม ที่ทำให้เข้มข้น หรือเติมนํ้าตาล หรือสารทำให้หวานอื่นๆ (ยกเว้นลักษณะของแข็ง) ซึ่งมิได้จัดประเภทไว้ในที่อื่น</t>
  </si>
  <si>
    <t>บริการรับจ้างเหมาที่เป็นส่วนหนึ่งของการผลิตนมข้นหรือนมผง</t>
  </si>
  <si>
    <t>ไอศกรีมและไอศกรีมหวานเย็น</t>
  </si>
  <si>
    <t>บริการรับจ้างเหมาที่เป็นส่วนหนึ่งของการผลิตไอศกรีมและไอศกรีมหวานเย็น</t>
  </si>
  <si>
    <t>โยเกิร์ตและนมเปรี้ยว</t>
  </si>
  <si>
    <t>บริการรับจ้างเหมาที่เป็นส่วนหนึ่งของการผลิตโยเกิร์ตและนมเปรี้ยว</t>
  </si>
  <si>
    <t>เนย</t>
  </si>
  <si>
    <t>เนยไขมันและนํ้ามันอื่นๆ ที่ได้จากนม (เช่น น้ำมันเนย กี เป็นต้น) รวมถึงเดรีสเปรด</t>
  </si>
  <si>
    <t>เนยแข็งหรือเคิร์ด</t>
  </si>
  <si>
    <t>บริการรับจ้างเหมาที่เป็นส่วนหนึ่งของการผลิตเนย</t>
  </si>
  <si>
    <t>ผลิตภัณฑ์นมอื่นๆ</t>
  </si>
  <si>
    <t>ครีม</t>
  </si>
  <si>
    <t>ผลิตภัณฑ์นมอื่นๆ ซึ่งมิได้จัดประเภทไว้ในที่อื่น</t>
  </si>
  <si>
    <t>เคซีอิน</t>
  </si>
  <si>
    <t>แล็กโทสและนํ้าเชื่อมแล็กโทส</t>
  </si>
  <si>
    <t>หางนม (เวย์)</t>
  </si>
  <si>
    <t>บริการรับจ้างเหมาที่เป็นส่วนหนึ่งของการผลิตผลิตภัณฑ์นมอื่นๆ</t>
  </si>
  <si>
    <t>ผลิตภัณฑ์ที่ได้จากการโม่-สีธัญพืช สตาร์ชและผลิตภัณฑ์จากสตาร์ช</t>
  </si>
  <si>
    <t>ผลิตภัณฑ์ที่ได้จากการโม่-สีธัญพืช</t>
  </si>
  <si>
    <t>ผลิตภัณฑ์ที่ได้จากการสีข้าว</t>
  </si>
  <si>
    <t>ข้าวกล้อง</t>
  </si>
  <si>
    <t>ข้าว ที่สีบ้างแล้วหรือสีทั้งหมด จะขัดหรือไม่ก็ตาม รวมถึงปลายข้าว</t>
  </si>
  <si>
    <t>เมล็ดหักของข้าว</t>
  </si>
  <si>
    <t>รำ เศษหัก หรือเศษอื่นๆ ของข้าว ที่ได้จากการร่อน สี หรือโดยวิธีอื่น จะทำเป็นเพลเลตหรือไม่ก็ตาม</t>
  </si>
  <si>
    <t>บริการรับจ้างเหมาที่เป็นส่วนหนึ่งของการผลิตผลิตภัณฑ์ที่ได้จากการสีข้าว</t>
  </si>
  <si>
    <t>แป้งจากข้าว</t>
  </si>
  <si>
    <t xml:space="preserve">แป้งข้าวเจ้าและแป้งข้าวเหนียว </t>
  </si>
  <si>
    <t>แป้งหยาบของข้าวเจ้าและข้าวเหนียว</t>
  </si>
  <si>
    <t>บริการรับจ้างเหมาที่เป็นส่วนหนึ่งของการผลิตแป้งจากข้าว</t>
  </si>
  <si>
    <t>ผลิตภัณฑ์ที่ได้จากการโม่-สีข้าวสาลี</t>
  </si>
  <si>
    <t>แป้งข้าวสาลีหรือแป้งเมสลิน</t>
  </si>
  <si>
    <t>เมล็ดหักและแป้งหยาบของข้าวสาลี</t>
  </si>
  <si>
    <t>รำ เศษหัก หรือเศษอื่นๆ ของข้าวสาลี ที่ได้จากการร่อน สี หรือโดยวิธีอื่น จะทำป็นเพลเลตหรือไม่ก็ตาม</t>
  </si>
  <si>
    <t>บริการรับจ้างเหมาที่เป็นส่วนหนึ่งของการผลิตผลิตภัณฑ์ที่ได้จากการโม่-สีข้าวสาลี</t>
  </si>
  <si>
    <t>ผลิตภัณฑ์ที่ได้จากการโม่-สีข้าวโพด</t>
  </si>
  <si>
    <t>แป้งข้าวโพด</t>
  </si>
  <si>
    <t>เมล็ดหัก แป้งหยาบ และเพลเลตของข้าวโพด</t>
  </si>
  <si>
    <t>รำ เศษหัก หรือเศษอื่นๆ ของข้าวโพด ที่ได้จากการร่อน สี หรือโดยวิธีอื่นจะทำเป็นเพลเลตหรือไม่ก็ตาม</t>
  </si>
  <si>
    <t>บริการรับจ้างเหมาที่เป็นส่วนหนึ่งของการผลิตผลิตภัณฑ์ที่ได้จากการโม่-สีข้าวโพด</t>
  </si>
  <si>
    <t>ผลิตภัณฑ์ที่ได้จากการโม่-สีธัญพืชชนิดอื่นๆ</t>
  </si>
  <si>
    <t>แป้งธัญพืชอื่นๆ (ยกเว้น แป้งข้าวสาลีหรือแป้งเมสลิน แป้งข้าวโพด  แป้งข้าวเจ้า และแป้งข้าวเหนียว) เช่น แป้งข้าวไรย์ แป้งข้าวโอ๊ต ฯลฯ</t>
  </si>
  <si>
    <t>แป้ง แป้งหยาบ และผง ที่ทำจากพืชผักตระกูลถั่วชนิดแห้ง สาคู มันเทศ รากหรือหัวที่คล้ายกัน และผลไม้เปลือกแข็งที่บริโภคได้</t>
  </si>
  <si>
    <t>เมล็ดหัก แป้งหยาบ และเพลเลตของธัญพืชอื่นๆ</t>
  </si>
  <si>
    <t>รำ เศษหัก หรือเศษอื่นๆ ของพืชผักตระกูลถั่วและธัญพืชอื่นๆ ที่ได้จากการร่อน สี หรือโดยวิธีอื่น จะทำเป็นเพลเลตหรือไม่ก็ตาม</t>
  </si>
  <si>
    <t>บริการรับจ้างเหมาที่เป็นส่วนหนึ่งของการผลิตผลิตภัณฑ์ที่ได้จากการโม่-สีธัญพืชอื่นๆ</t>
  </si>
  <si>
    <t>แป้งผสมสำเร็จสำหรับใช้ทำขนมอบและประกอบอาหารอื่นๆ</t>
  </si>
  <si>
    <t>ของผสมและแป้งที่จัดทำไว้สำหรับทำขนมจำพวกเบเกอรี่ เช่น เค้ก ขนมปัง โดนัท เป็นต้น</t>
  </si>
  <si>
    <t>บริการรับจ้างเหมาที่เป็นส่วนหนึ่งของการผลิตแป้งผสมสำเร็จ สำหรับใช้ทำขนมอบและประกอบอาหารอื่นๆ</t>
  </si>
  <si>
    <t>น้ำธัญพืช</t>
  </si>
  <si>
    <t>บริการรับจ้างเหมาที่เป็นส่วนหนึ่งของการผลิตน้ำธัญพืช</t>
  </si>
  <si>
    <t>ผลิตภัณฑ์อื่นๆ ที่ได้จากการโม่-สีธัญพืช</t>
  </si>
  <si>
    <t>เมล็ดธัญพืชที่จัดทำโดยวิธีอื่นๆ (เช่น เอาเปลือกออก ทำให้แบน ทำเป็นเกล็ด ทำเป็นเม็ดกลมฝานหรือบดแตก) เยิร์มของธัญพืช</t>
  </si>
  <si>
    <t>ข้าวเสริมวิตามิน</t>
  </si>
  <si>
    <t>อาหารปรุงแต่งที่ทำจากธัญพืชหรือผลิตภัณฑ์ธัญพืชที่ทำให้พองฟู คั่ว อบ หรือปิ้ง (เช่น คอร์นเฟล็ก) รวมถึงธัญพืช (ยกเว้นข้าวโพด) ในลักษณะเป็นเม็ด เป็นเกล็ดหรือเม็ดที่ทำเป็นลักษณะอื่นๆ (ยกเว้นแป้ง เมล็ดหักและแป้งหยาบ) ซึ่งทำให้สุกมาก่อนแล้ว หรือปรุงแต่งโดยวิธีอื่น ซึ่งมิได้จัดประเภทไว้ในที่อื่น</t>
  </si>
  <si>
    <t>บริการรับจ้างเหมาที่เป็นส่วนหนึ่งของการผลิตผลิตภัณฑ์อื่นๆ ที่ได้</t>
  </si>
  <si>
    <t>สตาร์ช และผลิตภัณฑ์จากสตาร์ช</t>
  </si>
  <si>
    <t>มันเส้นและมันอัดเม็ด</t>
  </si>
  <si>
    <t xml:space="preserve">มันเส้นและมันอัดเม็ด </t>
  </si>
  <si>
    <t>บริการรับจ้างเหมาที่เป็นส่วนหนึ่งของการผลิตมันเส้นและมันอัดเม็ด</t>
  </si>
  <si>
    <t>สตาร์ชจากมันสำปะหลัง</t>
  </si>
  <si>
    <t>กากเหลือจากการผลิตสตาร์ชจากมันสำปะหลัง</t>
  </si>
  <si>
    <t>บริการรับจ้างเหมาที่เป็นส่วนหนึ่งของการผลิตสตาร์ชจากมันสำปะหลัง</t>
  </si>
  <si>
    <t>สตาร์ชจากข้าวโพด ธัญพืช และพืชผักอื่นๆ (ยกเว้นมันสำปะหลัง)</t>
  </si>
  <si>
    <t xml:space="preserve">สตาร์ชจากข้าวโพด ข้าวสาลี ธัญพืช และพืชผักอื่นๆ (ยกเว้นมันสำปะหลัง) </t>
  </si>
  <si>
    <t xml:space="preserve">กากเหลือจากการผลิตสตาร์ชจากข้าวโพด ข้าวสาลี ธัญพืช และพืชผักอื่นๆ </t>
  </si>
  <si>
    <t xml:space="preserve">บริการรับจ้างเหมาที่เป็นส่วนหนึ่งของการผลิตสตาร์ชจากข้าวโพด </t>
  </si>
  <si>
    <t>ผลิตภัณฑ์จากสตาร์ชอื่นๆ</t>
  </si>
  <si>
    <t>ผลิตภัณท์จากสตาร์ชอื่นๆ</t>
  </si>
  <si>
    <t>อินนูลิน กลูเทนจากข้าวสาลี เดกซ์ทริน และโมดิไฟล์สตาร์ชอื่นๆ</t>
  </si>
  <si>
    <t>ผลิตภัณฑ์มันสำปะหลังและของที่ใช้แทนผลิตภัณฑ์มันสำปะหลัง</t>
  </si>
  <si>
    <t>กลูโคสและนํ้าเชื่อมกลูโคส ฟรักโทสและนํ้าเชื่อมฟรักโทส มอลโทส</t>
  </si>
  <si>
    <t>บริการรับจ้างเหมาที่เป็นส่วนหนึ่งของการผลิตผลิตภัณฑ์จากสตาร์ชอื่นๆ</t>
  </si>
  <si>
    <t>ผลิตภัณฑ์อาหารอื่นๆ</t>
  </si>
  <si>
    <t>ผลิตภัณฑ์ขนมอบ</t>
  </si>
  <si>
    <t>ขนมปัง เค้ก และเพสทรี</t>
  </si>
  <si>
    <t>ขนมปัง</t>
  </si>
  <si>
    <t>เค้กและเพสทรี</t>
  </si>
  <si>
    <t>บริการรับจ้างเหมาที่เป็นส่วนหนึ่งของการผลิตขนมปัง เค้ก และเพสทรี</t>
  </si>
  <si>
    <t>บิสกิตและขนมปังกรอบที่คล้ายกัน</t>
  </si>
  <si>
    <t>บริการรับจ้างเหมาที่เป็นส่วนหนึ่งของการผลิตบิสกิตและขนมปัง</t>
  </si>
  <si>
    <t>ขนมไทยประเภทอบ</t>
  </si>
  <si>
    <t>บริการรับจ้างเหมาที่เป็นส่วนหนึ่งของการผลิตขนมไทยประเภทอบ</t>
  </si>
  <si>
    <t>น้ำตาล</t>
  </si>
  <si>
    <t>น้ำตาลทรายดิบจากอ้อย</t>
  </si>
  <si>
    <t>ชานอ้อยและเศษอื่นๆ ที่ได้จากการผลิตนํ้าตาลทรายดิบจากอ้อย</t>
  </si>
  <si>
    <t>บริการรับจ้างเหมาที่เป็นส่วนหนึ่งของการผลิตน้ำตาลทรายดิบจากอ้อย</t>
  </si>
  <si>
    <t>น้ำตาลทรายขาวและน้ำตาลทรายบริสุทธิ์</t>
  </si>
  <si>
    <t>น้ำตาลทรายบริสุทธิ์และซูโครสที่บริสุทธิ์ในทางเคมีจากอ้อย ในลักษณะของแข็ง ที่ไม่เติมสารปรุงกลิ่นรสหรือสารแต่งสี (ยกเว้นน้ำตาลไอซิ่ง)</t>
  </si>
  <si>
    <t>น้ำตาลทรายบริสุทธิ์จากอ้อย ที่เติมสารปรุงกลิ่นรสหรือสารแต่งสี เช่น น้ำตาลผสมคาราเมล น้ำตาลสี เป็นต้น</t>
  </si>
  <si>
    <t>นํ้าตาลอินเวิร์ตและน้ำเชื่อมจากอ้อย</t>
  </si>
  <si>
    <t>กากนํ้าตาล</t>
  </si>
  <si>
    <t>บริการรับจ้างเหมาที่เป็นส่วนหนึ่งของการผลิตน้ำตาลทรายดิบจากอ้อย น้ำตาลอินเวิร์ต และน้ำเชื่อมจากอ้อย</t>
  </si>
  <si>
    <t>น้ำตาลจากพืช (ยกเว้นอ้อย)</t>
  </si>
  <si>
    <t>น้ำตาลจากหัวบีต</t>
  </si>
  <si>
    <t>นํ้าตาลเมเปิลและนํ้าเชื่อมเมเปิล</t>
  </si>
  <si>
    <t>น้ำตาลและน้ำเชื่อมอื่นๆ เช่น น้ำตาลโตนด น้ำตาลมะพร้าว เป็นต้น</t>
  </si>
  <si>
    <t>กากหัวบีตและเศษอื่นๆ ที่ได้จากการผลิตนํ้าตาลจากพืช (ยกเว้นอ้อย)</t>
  </si>
  <si>
    <t>บริการรับจ้างเหมาที่เป็นส่วนหนึ่งของการผลิตน้ำตาลจากพืช (ยกเว้นอ้อย)</t>
  </si>
  <si>
    <t>โกโก้ ช็อกโกแลต ลูกกวาด และขนมที่ทำจากน้ำตาล</t>
  </si>
  <si>
    <t>โกโก้และผลิตภัณฑ์จากโกโก้</t>
  </si>
  <si>
    <t xml:space="preserve">โกโก้เพสต์ โกโก้บัตเตอร์ และผงโกโก้ที่ไม่เติมน้ำตาล </t>
  </si>
  <si>
    <t>โกโก้เพสต์ จะเอาไขมันออกหรือไม่ก็ตาม</t>
  </si>
  <si>
    <t>โกโก้บัตเตอร์ไขมันและนํ้ามันของโกโก้</t>
  </si>
  <si>
    <t>ผงโกโก้ ที่ไม่เติมนํ้าตาลหรือสารทำให้หวานอื่นๆ</t>
  </si>
  <si>
    <t>เปลือกนอก เปลือกใน เยื่อ และส่วนอื่นที่ใช้ไม่ได้ของเมล็ดโกโก้</t>
  </si>
  <si>
    <t>บริการรับจ้างเหมาที่เป็นส่วนหนึ่งของการผลิตโกโก้และผลิตภัณฑ์จากโกโก้</t>
  </si>
  <si>
    <t>ช็อกโกแลตและขนมหวานจากช็อกโกแลต</t>
  </si>
  <si>
    <t>ผงโกโก้ ที่เติมนํ้าตาลหรือสารทำให้หวานอื่นๆ</t>
  </si>
  <si>
    <t>ช็อกโกแลตขาว</t>
  </si>
  <si>
    <t>ช็อกโกแลตและอาหารปรุงแต่งอื่นๆ ที่มีโกโก้</t>
  </si>
  <si>
    <t>บริการรับจ้างเหมาที่เป็นส่วนหนึ่งของการผลิตช็อกโกแลตและขนม</t>
  </si>
  <si>
    <t>หมากฝรั่ง</t>
  </si>
  <si>
    <t>หมากฝรั่ง จะเคลือบนํ้าตาลหรือไม่ก็ตาม</t>
  </si>
  <si>
    <t>บริการรับจ้างเหมาที่เป็นส่วนหนึ่งของการผลิตหมากฝรั่ง</t>
  </si>
  <si>
    <t>ผลิตภัณฑ์ที่ได้จากการถนอมผลไม้ ผลไม้เปลือกแข็ง เปลือกผลไม้ และส่วนอื่นๆ ของพืช โดยใช้น้ำตาล</t>
  </si>
  <si>
    <t>ผลไม้ ผลไม้เปลือกแข็ง เปลือกผลไม้ และส่วนอื่นๆ ของพืช ที่ทำไว้ไม่ให้เสียโดยใช้นํ้าตาล (แช่อิ่ม เชื่อม หรือฉาบ)</t>
  </si>
  <si>
    <t>บริการรับจ้างเหมาที่เป็นส่วนหนึ่งของการถนอมผลไม้ ผลไม้เปลือกแข็ง เปลือกผลไม้ และส่วนอื่นๆ ของพืช โดยใช้น้ำตาล</t>
  </si>
  <si>
    <t>ลูกกวาดและขนมอื่นๆ ที่ทำจากน้ำตาล</t>
  </si>
  <si>
    <t>บริการรับจ้างเหมาที่เป็นส่วนหนึ่งของการผลิตลูกกวาดและขนมอื่นๆ ที่ทำจากนํ้าตาล</t>
  </si>
  <si>
    <t>มะกะโรนี เส้นก๋วยเตี๋ยว และผลิตภัณฑ์อาหารจำพวกแป้งที่คล้ายกัน</t>
  </si>
  <si>
    <t>พาสต้า</t>
  </si>
  <si>
    <t>พาสต้า ที่ยังไม่ทำให้สุก ไม่ยัดไส้ หรือปรุงแต่งโดยวิธีอื่น เช่น ราวิโอลิ สปาเก็ตตี้ มักกะโรนี เป็นต้น</t>
  </si>
  <si>
    <t>พาสต้า ที่ทำให้สุก ยัดไส้ หรือปรุงแต่งโดยวิธีอื่น (ยกเว้น อาหารสำเร็จรูป)</t>
  </si>
  <si>
    <t>บริการรับจ้างเหมาที่เป็นส่วนหนึ่งของการผลิตพาสต้า</t>
  </si>
  <si>
    <t>เส้นก๋วยเตี๋ยว บะหมี่ วุ้นเส้น</t>
  </si>
  <si>
    <t>เส้นก๋วยเตี๋ยว เส้นหมี่ เส้นก๋วยเตี๋ยวเซี่ยงไฮ้ บะหมี่ วุ้นเส้นแผ่นเกี๊ยว</t>
  </si>
  <si>
    <t>บริการรับจ้างเหมาที่เป็นส่วนหนึ่งของการผลิตเส้นก๋วยเตี๋ยว บะหมี่  วุ้นเส้น</t>
  </si>
  <si>
    <t>บริการรับจ้างเหมาที่เป็นส่วนหนึ่งของการผลิตเส้นก๋วยเตี๋ยว บะหมี่ วุ้นเส้น</t>
  </si>
  <si>
    <t>ผลิตภัณฑ์อาหารจำพวกแป้งชนิดสำเร็จรูปและกึ่งสำเร็จรูป</t>
  </si>
  <si>
    <t>ผลิตภัณฑ์อาหารจำพวกแป้งชนิดสำเร็จรูปและกึ่งสำเร็จรูปอื่น เช่น บะหมี่กึ่งสำเร็จรูป วุ้นเส้นกึ่งสำเร็จรูป ผลิตภัณฑ์พาสต้า บรรจุกระป๋องหรือแช่แข็ง เป็นต้น</t>
  </si>
  <si>
    <t>บริการรับจ้างเหมาที่เป็นส่วนหนึ่งของการผลิตอาหารจำพวกแป้งชนิดสำเร็จรูปและกึ่งสำเร็จรูป</t>
  </si>
  <si>
    <t>ผลิตภัณฑ์อาหารจำพวกแป้งอื่นๆ ที่คล้ายกัน</t>
  </si>
  <si>
    <t>ผลิตภัณฑ์อาหารจำพวกแป้งอื่นๆ ที่คล้ายกัน เช่น เส้นขนมจีน คัสคัส เป็นต้น</t>
  </si>
  <si>
    <t>บริการรับจ้างเหมาที่เป็นส่วนหนึ่งของการผลิตผลิตภัณฑ์อาหารจำพวกแป้งอื่นๆ ที่คล้ายกัน</t>
  </si>
  <si>
    <t>อาหารสำเร็จรูป</t>
  </si>
  <si>
    <t>อาหารสำเร็จรูปแช่แข็ง</t>
  </si>
  <si>
    <t>ผลิตภัณฑ์อาหารสำเร็จรูป ที่ทำจากเนื้อสัตว์เป็นหลัก แช่แข็ง</t>
  </si>
  <si>
    <t>ผลิตภัณฑ์อาหารสำเร็จรูป ที่ทำจากสัตว์น้ำเป็นหลัก แช่แข็ง</t>
  </si>
  <si>
    <t>ผลิตภัณฑ์อาหารสำเร็จรูปที่ทำจากพืชผักที่ผสมเข้าเป็นเนื้อเดียวกันที่ประกอบด้วยเครื่องปรุงหลักที่แตกต่างกันอย่างน้อย 2 ชนิด แช่แข็ง</t>
  </si>
  <si>
    <t>พาสต้าที่เป็นอาหารสำเร็จรูป แช่แข็ง</t>
  </si>
  <si>
    <t>อาหารสำเร็จรูปอื่นๆ แช่แข็ง เช่น พิซซาแช่แข็ง เป็นต้น</t>
  </si>
  <si>
    <t>บริการรับจ้างเหมาที่เป็นส่วนหนึ่งของการผลิตอาหารสำเร็จรูปแช่แข็ง</t>
  </si>
  <si>
    <t>อาหารสำเร็จรูปบรรจุในภาชนะปิดสนิทโดยวิธีสุญญากาศ</t>
  </si>
  <si>
    <t>ผลิตภัณฑ์อาหารสำเร็จรูปที่ทำจากเนื้อสัตว์เป็นหลัก ในภาชนะปิดสนิทโดยวิธีสุญญากาศ</t>
  </si>
  <si>
    <t>ผลิตภัณฑ์อาหารสำเร็จรูปที่ทำจากสัตว์น้ำเป็นหลัก ในภาชนะปิดสนิทโดยวิธีสุญญากาศ</t>
  </si>
  <si>
    <t>ผลิตภัณฑ์อาหารสำเร็จรูปที่ทำจากพืชผักที่ผสมเข้าเป็นเนื้อเดียวกันที่ประกอบด้วยเครื่องปรุงหลักที่แตกต่างกันอย่างน้อย 2 ชนิด ในภาชนะปิดสนิทโดยวิธีสุญญากาศ</t>
  </si>
  <si>
    <t>พาสต้ายัดไส้ที่เป็นอาหารสำเร็จรูป จะทำให้สุกหรือปรุงแต่งโดยวิธีอื่นหรือไม่ก็ตาม ในภาชนะปิดสนิทโดยวิธีสุญญากาศ</t>
  </si>
  <si>
    <t>อาหารสำเร็จรูปอื่นๆ ในภาชนะปิดสนิทโดยวิธีสุญญากาศ</t>
  </si>
  <si>
    <t>บริการรับจ้างเหมาที่เป็นส่วนหนึ่งของการผลิตอาหารสำเร็จรูปในภาชนะปิดสนิทโดยวิธีสุญญากาศ</t>
  </si>
  <si>
    <t>กาแฟ ชา และสมุนไพรผงสำหรับชงเป็นเครื่องดื่ม</t>
  </si>
  <si>
    <t>กาแฟและของที่ใช้แทนกาแฟ</t>
  </si>
  <si>
    <t>กาแฟที่ไม่ได้คั่ว แยกเอากาเฟอีนออกแล้ว รวมถึงกาแฟคั่ว</t>
  </si>
  <si>
    <t>ของที่ใช้แทนกาแฟที่มีกาแฟผสม รวมถึงสิ่งสกัดหัวเชื้อและสิ่งเข้มข้นของกาแฟ</t>
  </si>
  <si>
    <t>บริการรับจ้างเหมาที่เป็นส่วนหนึ่งของการผลิตกาแฟ</t>
  </si>
  <si>
    <t>ชาและสิ่งสกัดหรือสิ่งปรุงแต่งจากชา</t>
  </si>
  <si>
    <t>ชาเขียว (ไม่หมัก) ชาดำ (หมักแล้ว) และชาที่หมักบ้างแล้วบรรจุหีบห่อ นํ้าหนักไม่เกิน 3 กิโลกรัม</t>
  </si>
  <si>
    <t>สิ่งสกัด หัวเชื้อ และสิ่งเข้มข้นของชาหรือของชามาเต้ และของปรุงแต่งที่มีสิ่งสกัด หัวเชื้อ หรือสิ่งเข้มข้นเหล่านี้เป็นหลัก หรือที่มีชาหรือชามาเต้เป็นหลัก</t>
  </si>
  <si>
    <t>บริการรับจ้างเหมาที่เป็นส่วนหนึ่งของการผลิตชา</t>
  </si>
  <si>
    <t>สมุนไพรผงสำหรับชงเป็นเครื่องดื่ม</t>
  </si>
  <si>
    <t>สมุนไพรชนิดที่ใช้ประโยชน์หลักในการชงเป็นเครื่องดื่ม เช่น รากโสม ชะเอม เป็นต้น</t>
  </si>
  <si>
    <t>บริการรับจ้างเหมาที่เป็นส่วนหนึ่งของการผลิตสมุนไพรสำหรับชงเป็นเครื่องดื่ม</t>
  </si>
  <si>
    <t>เครื่องปรุงอาหารประจำโต๊ะและเครื่องประกอบอาหาร</t>
  </si>
  <si>
    <t>เครื่องเทศและเครื่องแกงสำเร็จรูป</t>
  </si>
  <si>
    <t>พริก ที่แห้งและคั่ว บดหรือป่น</t>
  </si>
  <si>
    <t>เครื่องแกงสำเร็จรูป</t>
  </si>
  <si>
    <t>เครื่องเทศอื่นๆ</t>
  </si>
  <si>
    <t>บริการรับจ้างเหมาที่เป็นส่วนหนึ่งของการผลิตเครื่องเทศและเครื่องแกงสำเร็จรูป</t>
  </si>
  <si>
    <t>ซอสและเครื่องปรุงอาหารประจำโต๊ะ</t>
  </si>
  <si>
    <t>นํ้าส้มสายชูและของที่ใช้แทนนํ้าส้มสายชูที่ได้จากกรดอะซิติก</t>
  </si>
  <si>
    <t>ซอสและของปรุงแต่งสำหรับทำซอส ผงละเอียดและผงหยาบของมัสตาร์ดและมัสตาร์ดปรุงแต่ง เช่น ซอสมะเขือเทศ ซอสพริก เป็นต้น</t>
  </si>
  <si>
    <t>บริการรับจ้างเหมาที่เป็นส่วนหนึ่งของการผลิตเครื่องปรุงอาหาร</t>
  </si>
  <si>
    <t>ซีอิ๊ว</t>
  </si>
  <si>
    <t>ซีอิ๊ว ซอสถั่วเหลือง และนํ้ามันหอย</t>
  </si>
  <si>
    <t>บริการรับจ้างเหมาที่เป็นส่วนหนึ่งของการผลิตซีอิ๊ว</t>
  </si>
  <si>
    <t>ผงชูรส</t>
  </si>
  <si>
    <t>ผงชูรส ของผสมที่ใช้ปรุงรส และของผสมที่ใช้ชูรส</t>
  </si>
  <si>
    <t>บริการรับจ้างเหมาที่เป็นส่วนหนึ่งของการผลิตผงชูรส</t>
  </si>
  <si>
    <t>เกลือบริโภค</t>
  </si>
  <si>
    <t>บริการรับจ้างเหมาที่เป็นส่วนหนึ่งของการผลิตเกลือบริโภค</t>
  </si>
  <si>
    <t>เครื่องประกอบอาหารอื่นๆ</t>
  </si>
  <si>
    <t>ยีสต์ (ชนิดทวีตัวได้หรือทวีตัวไม่ได้) จุลินทรีย์เซลเดียวอื่นๆ ที่ตายแล้วผงฟูปรุงแต่ง</t>
  </si>
  <si>
    <t>น้ำตาลละเอียด (น้ำตาลไอซิ่ง)</t>
  </si>
  <si>
    <t>น้ำผึ้งเทียมและคาราเมลเทียม</t>
  </si>
  <si>
    <t>วุ้นและยางข้นที่ได้จากผลิตภัณฑ์จากพืช จะดัดแปลงหรือไม่ก็ตาม (เจลาติน/ผงวุ้น)</t>
  </si>
  <si>
    <t>สีผสมอาหารหรือเครื่องดื่ม ที่ได้จากพืชหรือสัตว์/จากธรรมชาติ</t>
  </si>
  <si>
    <t>บริการรับจ้างเหมาที่เป็นส่วนหนึ่งของการผลิตเครื่องประกอบอาหารอื่นๆ</t>
  </si>
  <si>
    <t>ผลิตภัณฑ์อาหารอื่นๆ ซึ่งมิได้จัดประเภทไว้ในที่อื่น</t>
  </si>
  <si>
    <t>ขนมขบเคี้ยว/ขนมกรุบกรอบ</t>
  </si>
  <si>
    <t>บริการรับจ้างเหมาที่เป็นส่วนหนึ่งของการผลิตขนมขบเคี้ยว/ขนมกรุบกรอบ</t>
  </si>
  <si>
    <t>ขนมไทยและขนมพื้นเมือง (ยกเว้นขนมอบ)</t>
  </si>
  <si>
    <t>บริการรับจ้างเหมาที่เป็นส่วนหนึ่งของการผลิตขนมไทยและขนมพื้นเมือง (ยกเว้นขนมอบ)</t>
  </si>
  <si>
    <t>ซุปและอาหารชนิดพิเศษ</t>
  </si>
  <si>
    <t>ซุปและซุปข้นและของปรุงแต่งสำหรับทำซุปดังกล่าว</t>
  </si>
  <si>
    <t>อาหารปรุงแต่งสำหรับใช้เลี้ยงทารก</t>
  </si>
  <si>
    <t>อาหารพิเศษสำหรับผู้ควบคุมอาหาร เช่น อาหารเสริมสำหรับผู้ป่วยหนัก</t>
  </si>
  <si>
    <t>ของปรุงแต่งอาหารที่ผสมเข้าเป็นเนื้อเดียวกันและอาหารเพื่อสุขภาพ</t>
  </si>
  <si>
    <t>บริการรับจ้างเหมาที่เป็นส่วนหนึ่งของการผลิตซุปและอาหารพิเศษ</t>
  </si>
  <si>
    <t>อาหารพร้อมปรุงและอาหารสำเร็จรูปที่เน่าเสียง่าย</t>
  </si>
  <si>
    <t>บริการรับจ้างเหมาที่เป็นส่วนหนึ่งของการผลิตอาหารพร้อมปรุงและอาหารสำเร็จรูปที่เน่าเสียง่าย</t>
  </si>
  <si>
    <t>น้ำแข็งเพื่อการบริโภค</t>
  </si>
  <si>
    <t>น้ำแข็งเพื่อการบริโภค เช่น น้ำแข็งเกล็ด น้ำแข็งยูนิต เป็นต้น</t>
  </si>
  <si>
    <t>บริการรับจ้างเหมาที่เป็นส่วนหนึ่งของการผลิตน้ำแข็งเพื่อการบริโภค</t>
  </si>
  <si>
    <t>ผลิตภัณฑ์จากไข่</t>
  </si>
  <si>
    <t>บริการรับจ้างเหมาที่เป็นส่วนหนึ่งของการผลิตผลิตภัณฑ์จากไข่</t>
  </si>
  <si>
    <t>สิ่งสกัดและนํ้าคั้นที่ได้จากเนื้อสัตว์ ปลา และสัตว์นํ้า รวมถึงนํ้าเลี้ยงและสิ่งสกัดจากพืช</t>
  </si>
  <si>
    <t>สิ่งสกัดและนํ้าคั้นที่ได้จากเนื้อสัตว์ ปลา สัตว์นํ้าจำพวกครัสตาเซีย โมลลุสก์ หรือจากสัตว์นํ้าที่ไม่มีกระดูกสันหลังอื่นๆ</t>
  </si>
  <si>
    <t xml:space="preserve">นํ้าเลี้ยงและสิ่งสกัดจากพืช เช่น ชะเอม ฮ้อป ไพเรทรัมหรือจากรากพืชที่มีโรทีโนน นํ้ารัก สารจำพวกเพกติก เกลือของกรดเพกตินิก และเกลือของกรดเพกติก </t>
  </si>
  <si>
    <t>อาหารที่มีสิ่งสกัดจากมอลต์เป็นส่วนประกอบอาหารปรุงแต่งที่ปนนมสำหรับใช้เลี้ยงทารก ไม่ได้จัดทำขึ้นเพื่อการขายปลีก นมเติมไขมัน ของปรุงแต่งอื่นๆ ที่มีถั่วเหลืองเป็นหลัก</t>
  </si>
  <si>
    <t>ผลิตภัณฑ์อาหารอื่นๆ ซึ่งมิได้จัดประเภทไว้ในที่อื่น เช่น น้ำพริกสำเร็จรูปชนิดต่างๆ เครื่องดื่มรังนกสำเร็จรูป เครื่องแต่งหน้าเค้ก โปรตีนเข้มข้นและสารเทกซ์เจอร์โปรตีน เป็นต้น</t>
  </si>
  <si>
    <t>บริการรับจ้างเหมาที่เป็นส่วนหนึ่งของการผลิตผลิตภัณฑ์อาหารอื่นๆ ซึ่งมิได้จัดประเภทไว้ในที่อื่น</t>
  </si>
  <si>
    <t>อาหารสัตว์สำเร็จรูป</t>
  </si>
  <si>
    <t>อาหารสัตว์สำเร็จรูปสำหรับสัตว์เลี้ยง</t>
  </si>
  <si>
    <t>อาหารสำเร็จรูปสำหรับสัตว์เลี้ยง</t>
  </si>
  <si>
    <t>บริการรับจ้างเหมาที่เป็นส่วนหนึ่งของการผลิตอาหารสัตว์สำเร็จรูปสำหรับสัตว์เลี้ยง</t>
  </si>
  <si>
    <t>อาหารสัตว์สำเร็จรูปสำหรับปศุสัตว์</t>
  </si>
  <si>
    <t>อาหารสัตว์สำเร็จรูปสำหรับปศุสัตว์ (ยกเว้น ลูเซอร์น (แอลฟาลฟา) ที่เป็นผงหยาบและเพลเลต)</t>
  </si>
  <si>
    <t>ลูเซอร์น (แอลฟาลฟา) ที่เป็นผงหยาบและเพลเลต</t>
  </si>
  <si>
    <t>บริการรับจ้างเหมาที่เป็นส่วนหนึ่งของการผลิตอาหารสัตว์สำเร็จรูปสำหรับปศุสัตว์</t>
  </si>
  <si>
    <t>เครื่องดื่ม</t>
  </si>
  <si>
    <t>สุราที่ได้จากการต้ม การกลั่น และการผสม</t>
  </si>
  <si>
    <t>สุรากลั่น</t>
  </si>
  <si>
    <t>สุรากลั่น เช่น วิสกี้ วอดก้า รัม บรั่นดี เตกิลา คอนยัค เกาเหลียง เหล้าโรงหรือเหล้าขาว รวมถึงนิวทรัลสปิริตหรือแอลกอฮอล์บริสุทธิ์ร้อยละ 95 ขึ้นไป</t>
  </si>
  <si>
    <t>บริการรับจ้างเหมาที่เป็นส่วนหนึ่งของการผลิตสุรากลั่น</t>
  </si>
  <si>
    <t>สุราผสม</t>
  </si>
  <si>
    <t>สุราผสม เช่น เชี่ยงชุน ยิน ลิเคียว หงษ์ทอง มังกรทอง แม่โขง สุราที่มีสรรพคุณเป็นยา และค็อกเทลสำเร็จรูปหรือสุราแรงแอลกอฮอล์ต่ำ</t>
  </si>
  <si>
    <t>บริการรับจ้างเหมาที่เป็นส่วนหนึ่งของการผลิตสุราผสม</t>
  </si>
  <si>
    <t>ไวน์</t>
  </si>
  <si>
    <t>ไวน์องุ่น</t>
  </si>
  <si>
    <t>สปาร์กลิ้งไวน์หรือไวน์อัดลม เช่น แชมเปญ ไวน์คูลเลอร์</t>
  </si>
  <si>
    <t>ไวน์ที่ทำจากองุ่นสดและเกรปมัสต์</t>
  </si>
  <si>
    <t>ตะกอนที่ได้จากการหมักและบ่มไวน์ รวมถึงอาร์กอล</t>
  </si>
  <si>
    <t>เวอร์มุธและไวน์อื่นๆ ที่ทำจากองุ่นสดปรุงกลิ่นรสด้วยพืชหรือสารหอม</t>
  </si>
  <si>
    <t>บริการรับจ้างเหมาที่เป็นส่วนหนึ่งของการผลิตไวน์องุ่นและเวอร์มุธที่ทำจากองุ่นสด</t>
  </si>
  <si>
    <t>บริการรับจ้างเหมาที่เป็นส่วนหนึ่งของการผลิตไวน์องุ่น</t>
  </si>
  <si>
    <t>บริการรับจ้างเหมาที่เป็นส่วนหนึ่งของการผลิตเวอร์มุธและไวน์อื่นๆ ที่ทำจากองุ่นสดปรุงกลิ่นรสด้วยพืชหรือสารหอม</t>
  </si>
  <si>
    <t>ไวน์ผลไม้ (ยกเว้นองุ่น)</t>
  </si>
  <si>
    <t>ไวน์ผลไม้ (ยกเว้นองุ่น) เช่น ไซเดอร์ เพอร์รี่ ไวน์สับปะรด ไวน์เสาวรส ไวน์มะขาม ไวน์สตรอเบอรรี่ ไวน์ลิ้นจี่ ฯลฯ รวมถึงไวน์ผลไม้ที่ผสมกับไวน์องุ่น</t>
  </si>
  <si>
    <t>บริการรับจ้างเหมาที่เป็นส่วนหนึ่งของการผลิตไวน์ผลไม้ (ยกเว้นองุ่น)</t>
  </si>
  <si>
    <t>ไวน์อื่นๆ</t>
  </si>
  <si>
    <t>ไวน์ที่ผลิตจากสมุนไพร (เช่น กระชายดำ ส้มแขก ยอ กระวาน) ไวน์/สุราแช่ที่ผลิตจากผลผลิตทางการเกษตรอื่นๆ เช่น ข้าว น้ำผึ้ง แป้ง น้ำตาล เพื่อผลิตเป็นสุราแช่ (เช่น สาเก อุ สาโท กระแช่ น้ำตาลเมา ไวน์น้ำผึ้ง) รวมถึงไวน์ที่มีแอลกอฮอล์ต่ำหรือไม่มีแอลกอฮอล์</t>
  </si>
  <si>
    <t>บริการรับจ้างเหมาที่เป็นส่วนหนึ่งของการผลิตไวน์อื่นๆ</t>
  </si>
  <si>
    <t>มอลต์และสุราที่ทำจากข้าวมอลต์</t>
  </si>
  <si>
    <t>เบียร์ที่ทำจากข้าวมอลต์และเศษที่ได้จากการต้มกลั่นเบียร์</t>
  </si>
  <si>
    <t>เบียร์ที่ทำจากข้าวมอลต์ เช่น พอทเทอ (เบียร์ดำขม) สเทาท์ (เบียร์ดำรสเข้ม) และเอล รวมถึงเบียร์ที่มีแอลกอฮอล์ต่ำหรือไม่มีแอลกอฮอล์</t>
  </si>
  <si>
    <t>ขี้ตะกอนและเศษที่ได้จากการต้มกลั่นเบียร์</t>
  </si>
  <si>
    <t>มอลต์และสารสกัดจากมอลต์</t>
  </si>
  <si>
    <t>บริการรับจ้างเหมาที่เป็นส่วนหนึ่งของการผลิตมอลต์และเบียร์</t>
  </si>
  <si>
    <t>บริการรับจ้างเหมาที่เป็นส่วนหนึ่งของการผลิตเบียร์</t>
  </si>
  <si>
    <t>บริการรับจ้างเหมาที่เป็นส่วนหนึ่งของการผลิตมอลต์</t>
  </si>
  <si>
    <t>เครื่องดื่มที่ไม่มีแอลกอฮอล์ น้ำแร่และน้ำดื่มบรรจุขวดประเภทอื่นๆ</t>
  </si>
  <si>
    <t>น้ำดื่มบริสุทธิ์และน้ำแร่บรรจุขวด</t>
  </si>
  <si>
    <t>น้ำดื่มบริสุทธิ์ น้ำแร่ธรรมชาติ และน้ำแร่อัดลมบรรจุขวด</t>
  </si>
  <si>
    <t>บริการรับจ้างเหมาที่เป็นส่วนหนึ่งของการผลิตน้ำดื่มบริสุทธิ์และน้ำแร่บรรจุขวด</t>
  </si>
  <si>
    <t>น้ำอัดลมและโซดา</t>
  </si>
  <si>
    <t>น้ำอัดลมและโซดา รวมถึงน้ำผลไม้ชนิดอัดลมและน้ำหวานชนิดอัดลม</t>
  </si>
  <si>
    <t>บริการรับจ้างเหมาที่เป็นส่วนหนึ่งของการผลิตน้ำอัดลมและโซดา</t>
  </si>
  <si>
    <t>เครื่องดื่มกาแฟ ชา และชาชงสมุนไพรพร้อมดื่ม</t>
  </si>
  <si>
    <t xml:space="preserve">เครื่องดื่มกาแฟ ชา และชาชงสมุนไพรพร้อมดื่ม  </t>
  </si>
  <si>
    <t>บริการรับจ้างเหมาที่เป็นส่วนหนึ่งของการผลิตเครื่องดื่มกาแฟ ชา และชาชงสมุนไพรพร้อมดื่ม</t>
  </si>
  <si>
    <t>เครื่องดื่มให้พลังงาน รวมถึงเครื่องดื่มเกลือแร่</t>
  </si>
  <si>
    <t>เครื่องดื่มให้พลังงาน เครื่องดื่มชูกำลัง และเครื่องดื่มเกลือแร่</t>
  </si>
  <si>
    <t>บริการรับจ้างเหมาที่เป็นส่วนหนึ่งของการผลิตเครื่องดื่มให้พลังงาน รวมถึงเครื่องดื่มเกลือแร่</t>
  </si>
  <si>
    <t>เครื่องดื่มอื่นๆ ที่ไม่มีแอลกอฮอล์</t>
  </si>
  <si>
    <t>เครื่องดื่มอื่นๆ ที่ไม่มีแอลกอฮอล์ เช่น เครื่องดื่มที่ปรุงกลิ่นและ/หรือมีรสหวาน (เช่น น้ำโทนิค เป็นต้น) เครื่องดื่มปรุงกลิ่นรสด้วยน้ำผลไม้ น้ำเชื่อม หรือวัตถุอื่นๆ เครื่องดื่มสำเร็จรูปรสช็อกโกแลต เป็นต้น</t>
  </si>
  <si>
    <t>เครื่องดื่มอื่นๆ ที่ไม่มีแอลกอฮอล์ เช่น เครื่องดื่มที่ปรุงกลิ่นและ/หรือมีรสหวาน (เช่น น้ำโทนิค เป็นต้น)  เครื่องดื่มปรุงกลิ่นรสด้วยน้ำผลไม้ น้ำเชื่อม หรือวัตถุอื่นๆ เครื่องดื่มสำเร็จรูปรสช็อกโกแลต เป็นต้น</t>
  </si>
  <si>
    <t>บริการรับเหมาที่เป็นส่วนหนึ่งของการผลิตเครื่องดื่มอื่นๆ ที่ไม่มีแอลกอฮอล์</t>
  </si>
  <si>
    <t>ผลิตภัณฑ์ยาสูบ</t>
  </si>
  <si>
    <t>ใบยาสูบที่เอาก้านออกและอบ</t>
  </si>
  <si>
    <t>ใบยาสูบที่เอาก้านใบออกและอบ</t>
  </si>
  <si>
    <t>บริการรับจ้างเหมาที่เป็นส่วนหนึ่งของการแยกก้านและอบใบยาสูบ</t>
  </si>
  <si>
    <t>บุหรี่และซิการ์</t>
  </si>
  <si>
    <t>บุหรี่และซิการ์ รวมถึงเชอรูตและซิการิลโล</t>
  </si>
  <si>
    <t>บริการรับจ้างเหมาที่เป็นส่วนหนึ่งของการผลิตบุหรี่และซิการ์</t>
  </si>
  <si>
    <t>ผลิตภัณฑ์ยาสูบและผลิตภัณฑ์ที่ใช้แทนยาสูบอื่นๆ (ยกเว้นบุหรี่และซิการ์)</t>
  </si>
  <si>
    <t>ผลิตภัณฑ์ยาสูบและผลิตภัณฑ์ที่ใช้แทนยาสูบอื่นๆ เช่น ยาเส้น ยาสูบที่ใช้เคี้ยว (เช่นยาแดง ยาจืด ยาฉุน) และยานัตถุ์ รวมถึงยาสูบชนิด  “โฮโมจีไนส์” หรือชนิด “รีคอนสติติวเตด”</t>
  </si>
  <si>
    <t>บริการรับจ้างเหมาที่เป็นส่วนหนึ่งของการผลิตผลิตภัณฑ์ยาสูบและผลิตภัณฑ์ที่ใช้แทนยาสูบ (ยกเว้นบุหรี่และซิการ์)</t>
  </si>
  <si>
    <t>สิ่งทอ</t>
  </si>
  <si>
    <t>เส้นใยสิ่งทอ สิ่งทอ และบริการแต่งสำเร็จสิ่งทอ</t>
  </si>
  <si>
    <t>ด้ายและเส้นใยสิ่งทอ</t>
  </si>
  <si>
    <t>เส้นใยสิ่งทอ</t>
  </si>
  <si>
    <t>ไขขนสัตว์ รวมถึงลาโนลิน ที่ได้จากกระบวนการเตรียมเส้นใยขนสัตว์</t>
  </si>
  <si>
    <t>เส้นใยสิ่งทอธรรมชาติ ที่จัดเตรียมสำหรับปั่นด้าย</t>
  </si>
  <si>
    <t>ไหมดิบ (ยังไม่เข้าเกลียว)</t>
  </si>
  <si>
    <t>ขนแกะ ที่เอาไขออก จะผ่านกรรมวิธีคาร์โบไนซ์หรือไม่ก็ตาม ที่ไม่ได้สางหรือหวี</t>
  </si>
  <si>
    <t>เศษขนแกะหรือเศษขนละเอียดของสัตว์ ที่ได้จากการหวี</t>
  </si>
  <si>
    <t>ขนแกะและขนละเอียดหรือขนหยาบของสัตว์ ที่สางหรือหวีแล้ว</t>
  </si>
  <si>
    <t>ฝ้าย ที่สางหรือหวีแล้ว</t>
  </si>
  <si>
    <t>ปอกระเจาและเส้นใยสิ่งทอจากเปลือกในของต้นไม้อื่นๆ (ยกเว้น ป่านลินิน ป่านแท้ และป่านรามี) ที่ผ่านกรรมวิธีแล้วแต่ยังไม่ได้ปั่น รวมถึงเส้นใยที่ไม่ได้ขนาดและเศษของเส้นใยเหล่านี้</t>
  </si>
  <si>
    <t>เส้นใยสิ่งทอจากพืชอื่นๆ ที่ผ่านกรรมวิธีแล้วแต่ยังไม่ได้ปั่น</t>
  </si>
  <si>
    <t>เส้นใยสิ่งทอสังเคราะห์ ที่จัดเตรียมสำหรับปั่นด้าย</t>
  </si>
  <si>
    <t>เส้นใยสั้นสังเคราะห์ ที่สาง หวี หรือผ่านกรรมวิธีอย่างอื่น สำหรับการปั่นด้าย</t>
  </si>
  <si>
    <t>เส้นใยสั้นเทียม ที่สาง หวี หรือผ่านกรรมวิธีอย่างอื่น สำหรับการปั่นด้าย</t>
  </si>
  <si>
    <t>กลุ่มใยที่สางจากเศษวัตถุที่ทำจากฝ้าย ขนแกะ ขนละเอียด หรือขนหยาบของสัตว์</t>
  </si>
  <si>
    <t>กลุ่มใยที่สางจากเศษวัตถุที่ทำจากขนแกะ หรือขนละเอียด หรือขนหยาบของสัตว์</t>
  </si>
  <si>
    <t>กลุ่มใยที่สางจากเศษวัตถุที่ทำจากฝ้าย</t>
  </si>
  <si>
    <t>บริการเตรียมเส้นใยสิ่งทอธรรมชาติ</t>
  </si>
  <si>
    <t>ด้ายจากเส้นใยธรรมชาติ</t>
  </si>
  <si>
    <t>ด้ายไหม</t>
  </si>
  <si>
    <t>ด้ายขนแกะ ขนละเอียด/ขนหยาบของสัตว์ หรือขนม้า</t>
  </si>
  <si>
    <t>ด้ายฝ้าย</t>
  </si>
  <si>
    <t>ด้ายฝ้าย (ยกเว้นด้ายเย็บ)</t>
  </si>
  <si>
    <t>ด้ายเย็บที่ทำจากฝ้าย จะจัดทำขึ้นเพื่อการขายปลีกหรือไม่ก็ตาม</t>
  </si>
  <si>
    <t>ด้ายที่ทำจากเส้นใยสิ่งทอจากพืชอื่นๆ</t>
  </si>
  <si>
    <t>ด้ายป่านลินิน</t>
  </si>
  <si>
    <t>ด้ายปอกระเจาหรือด้ายทำจากเส้นใยสิ่งทอจากเปลือกในของต้นไม้อื่นๆ</t>
  </si>
  <si>
    <t>ด้ายจากเส้นใยประดิษฐ์</t>
  </si>
  <si>
    <t>ด้ายใยยาวประดิษฐ์ (ยกเว้นด้ายเย็บ ด้ายทนแรงดึงสูงทำจากโพลิอะไมด์ โพลิเอสเทอร์ หรือวิสโคสเรยอน) ไม่ได้จัดทำขึ้นเพื่อการขายปลีก</t>
  </si>
  <si>
    <t>ด้ายใยสั้นประดิษฐ์ (ยกเว้นด้ายเย็บ)</t>
  </si>
  <si>
    <t>ด้าย (ยกเว้นด้ายเย็บ) ทำจากเส้นใยสั้นเทียม</t>
  </si>
  <si>
    <t xml:space="preserve">ด้ายเย็บ ที่ทำจากใยยาวประดิษฐ์และเส้นใยสั้นประดิษฐ์ </t>
  </si>
  <si>
    <t>บริการรับจ้างเหมาที่เป็นส่วนหนึ่งของการผลิตเส้นใยประดิษฐ์</t>
  </si>
  <si>
    <t>ผ้าทอ</t>
  </si>
  <si>
    <t>ผ้าทอที่ทำจากเส้นใยธรรมชาติ</t>
  </si>
  <si>
    <t>ผ้าทอที่ทำจากไหมหรือเศษไหม</t>
  </si>
  <si>
    <t>ผ้าทอ ที่ทำจากขนแกะ ขนละเอียด/ขนหยาบของสัตว์ หรือขนม้า</t>
  </si>
  <si>
    <t>ผ้าทอที่ทำจากฝ้าย</t>
  </si>
  <si>
    <t>ผ้าทอที่ทำจากเส้นใยสิ่งทอจากพืชอื่นๆ</t>
  </si>
  <si>
    <t>ผ้าทอที่ทำจากป่านลินิน</t>
  </si>
  <si>
    <t>ผ้าทอที่ทำจากปอกระเจาหรือเส้นใยสิ่งทอจากเปลือกในของต้นไม้อื่นๆ (ยกเว้นป่านลินิน ป่านแท้ และป่านรามี)</t>
  </si>
  <si>
    <t>ผ้าทอที่ทำจากเส้นใยสิ่งทอที่ได้จากพืชอื่นๆ เช่น ป่านรามี รวมถึงผ้าทอที่ทำจากกระดาษ</t>
  </si>
  <si>
    <t>บริการรับจ้างเหมาที่เป็นส่วนหนึ่งของการผลิตผ้าทอที่ทำจากเส้นใยธรรมชาติ</t>
  </si>
  <si>
    <t>ผ้าทอที่ทำจากเส้นใยประดิษฐ์</t>
  </si>
  <si>
    <t>ผ้าทอที่ทำจากใยยาวประดิษฐ์</t>
  </si>
  <si>
    <t>ผ้าทอที่ทำจากเส้นใยสั้นประดิษฐ์</t>
  </si>
  <si>
    <t>ผ้าทอที่ทำจากเส้นใยสั้นเทียม</t>
  </si>
  <si>
    <t>บริการรับจ้างเหมาที่เป็นส่วนหนึ่งของการผลิตผ้าทอที่ทำจากเส้นใยประดิษฐ์</t>
  </si>
  <si>
    <t>ผ้าทอที่ทำจากเส้นใยอื่นๆ</t>
  </si>
  <si>
    <t>ผ้าทอมีขนแบบไพล์และแบบเชนิลล์</t>
  </si>
  <si>
    <t xml:space="preserve">ผ้าทอแบบผ้าขนหนูและผ้าทอที่คล้ายกัน ที่ทำจากฝ้าย (ยกเว้นผ้าหน้าแคบที่มีด้ายยืนโดยไม่มีด้ายพุ่งประกอบเข้าด้วยกันโดยใช้สารยึดติด (บอลดัก)) </t>
  </si>
  <si>
    <t>ผ้าทอแบบผ้าขนหนูและผ้าทอที่คล้ายกัน ที่ทำจากวัตถุทออื่นๆ (ยกเว้นผ้าหน้าแคบที่มีด้ายยืนโดยไม่มีด้ายพุ่งประกอบเข้าด้วยกันโดยใช้สารยึดติด (บอลดัก))</t>
  </si>
  <si>
    <t>ผ้าโปร่ง (ยกเว้นผ้าหน้าแคบที่มีด้ายยืนโดยไม่มีด้ายพุ่งประกอบเข้าด้วยกันโดยใช้สารยึดติด (บอลดัก))</t>
  </si>
  <si>
    <t>ผ้าสิ่งทอที่ทำปุยแบบทัฟต์ (ยกเว้นพรมและสิ่งทอปูพื้นอื่นๆ)</t>
  </si>
  <si>
    <t>ผ้าทอ (รวมถึงผ้าทอหน้าแคบ) ที่ทำจากใยแก้ว</t>
  </si>
  <si>
    <t>เฟอร์เทียม ที่ได้จากการทอ</t>
  </si>
  <si>
    <t>บริการรับจ้างเหมาที่เป็นส่วนหนึ่งของการผลิตผ้าทอที่ทำจากเส้นใยอื่นๆ</t>
  </si>
  <si>
    <t>บริการแต่งสำเร็จสิ่งทอ</t>
  </si>
  <si>
    <t>บริการขจัดไขมันและสิ่งสกปรก ฟอกขาว และย้อมสี</t>
  </si>
  <si>
    <t>บริการฟอกและย้อมสีเส้นใยสิ่งทอและด้าย</t>
  </si>
  <si>
    <t>บริการฟอกผ้าทอและผลิตภัณฑ์สิ่งทอ รวมถึงเครื่องแต่งกายที่ทำต่อเนื่องจากกระบวนการผลิต</t>
  </si>
  <si>
    <t>บริการย้อมสีผ้าทอและผลิตภัณฑ์สิ่งทอ รวมถึงเครื่องแต่งกายที่ทำต่อเนื่องจากกระบวนการผลิต</t>
  </si>
  <si>
    <t>บริการพิมพ์ซิลค์สกรีน</t>
  </si>
  <si>
    <t>บริการพิมพ์ซิลค์สกรีน เช่น บริการพิมพ์ซิลค์สกรีนลงบนสิ่งทอและเครื่องแต่งกาย บริการเขียนลายผ้า (เช่น ทำผ้าบาติก)</t>
  </si>
  <si>
    <t>บริการแต่งสำเร็จสิ่งทอด้วยวิธีอื่นๆ</t>
  </si>
  <si>
    <t>บริการแต่งสำเร็จสิ่งทอด้วยวิธีอื่นๆ เช่น บริการทำให้แห้ง ทำให้ย่น จับจีบ (อัดพลีท) สิ่งทอและผลิตภัณฑ์สิ่งทอ รวมถึงเครื่องแต่งกาย บริการเคลือบหรืออาบซึมเครื่องแต่งกายที่ซื้อมา</t>
  </si>
  <si>
    <t>สิ่งทอประเภทอื่นๆ</t>
  </si>
  <si>
    <t>ผ้าจากการถักนิตและโครเชต์</t>
  </si>
  <si>
    <t>ผ้าที่มีขนแบบไฟล์ รวมถึงผ้ามีขนแบบ “ลองไฟล์” และผ้าแบบผ้าขนหนู ที่ถักแบบนิตหรือโครเชต์</t>
  </si>
  <si>
    <t>ผ้าอื่นๆ รวมถึงเฟอร์เทียมที่ได้จากการถักนิต</t>
  </si>
  <si>
    <t>บริการรับจ้างเหมาที่เป็นส่วนหนึ่งของการผลิตผ้าที่ได้จากการถักนิตหรือโครเชต์</t>
  </si>
  <si>
    <t>สิ่งทอสำเร็จรูป (ยกเว้นเครื่องแต่งกาย)</t>
  </si>
  <si>
    <t>เครื่องนอน  ผ้าที่ใช้บนโต๊ะอาหาร ห้องน้ำ และห้องครัว</t>
  </si>
  <si>
    <t>เครื่องนอน ผ้าที่ใช้บนโต๊ะอาหาร ห้องน้ำ และห้องครัว</t>
  </si>
  <si>
    <t>ผ้าห่มและผ้าคลุมตัวที่ใช้ในเวลาเดินทาง (ยกเว้นผ้าห่มไฟฟ้า)</t>
  </si>
  <si>
    <t>ผ้าที่ใช้กับเตียงและของอื่นๆ ที่ใช้ตกแต่งเตียง</t>
  </si>
  <si>
    <t>ผ้าที่ใช้กับโต๊ะ เช่น ผ้าปูโต๊ะ ผ้าเช็ดปาก เป็นต้น</t>
  </si>
  <si>
    <t>ผ้าที่ใช้กับห้องน้ำและห้องครัว เช่น ผ้าเช็ดตัว เป็นต้น</t>
  </si>
  <si>
    <t>บริการรับจ้างเหมาที่เป็นส่วนหนึ่งของการผลิตเครื่องนอน ผ้าที่ใช้บนโต๊ะอาหาร ห้องน้ำ และห้องครัว</t>
  </si>
  <si>
    <t>ผลิตภัณฑ์จากผ้าใบและผ้าอื่นๆ ที่คล้ายกัน</t>
  </si>
  <si>
    <t>ผ้าใบคลุมของ ผ้าใบบังแดดและม่านกันแดด เต็นท์ ใบเรือสำหรับเรือ ใบเรือสำหรับเชลบอร์ด หรือใบเรือสำหรับเรือบก รวมถึงเครื่องแคมปิ้ง</t>
  </si>
  <si>
    <t>ร่มชูชีพ  รวมถึงส่วนประกอบและอุปกรณ์ประกอบของของดังกล่าว</t>
  </si>
  <si>
    <t>ธง ป้ายประกาศบนผืนผ้า ธงที่ใช้สำหรับให้สัญญาณ</t>
  </si>
  <si>
    <t>บริการรับจ้างเหมาที่เป็นส่วนหนึ่งของการผลิตผลิตภัณฑ์จากผ้าใบและผ้าอื่นๆ ที่คล้ายกัน</t>
  </si>
  <si>
    <t>สิ่งทอสำเร็จรูปอื่นๆ (ยกเว้นเครื่องแต่งกาย)</t>
  </si>
  <si>
    <t>ม่าน (รวมถึงม่านชนิดจับจีบ) และม่านบังตา รวมถึงกะบังม่านหรือกะบังเตียง</t>
  </si>
  <si>
    <t>ของอื่นๆ ที่ใช้ตกแต่ง ซึ่งมิได้จัดประเภทไว้ในที่อื่น รวมถึง ของที่เป็นชุดที่ประกอบด้วยผ้าทอและด้าย จะมีอุปกรณ์ประกอบหรือไม่ก็ตามสำหรับจัดทำเป็นพรมผืน เทเพสทรี หรือจัดทำเป็นของที่ทำจากสิ่งทอที่คล้ายกัน</t>
  </si>
  <si>
    <t>กระสอบและถุง ชนิดที่ใช้บรรจุของ</t>
  </si>
  <si>
    <t>สิ่งทอสำเร็จรูปอื่นๆ (ยกเว้นเครื่องแต่งกาย) ซึ่งมิได้จัดประเภทไว้ในที่อื่น เช่น ผ้าเช็ดพื้น ผ้าเช็ดถ้วยชาม ผ้าปัดฝุ่น และผ้าสำหรับทำความสะอาดที่คล้ายกัน เสื้อชูชีพ หน้ากากกรองฝุ่นที่ไม่มีส่วนประกอบเชิงกลและ ไม่มีตัวกรองแบบถอดเปลี่ยนได้ เป็นต้น</t>
  </si>
  <si>
    <t>บริการรับจ้างเหมาที่เป็นส่วนหนึ่งของการผลิตสิ่งทอสำเร็จรูปอื่นๆ (ยกเว้นครื่องแต่งกาย)</t>
  </si>
  <si>
    <t>บริการรับจ้างเหมาที่เป็นส่วนหนึ่งของการผลิตสิ่งทอสำเร็จรูปอื่นๆ  (ยกเว้นครื่องแต่งกาย)</t>
  </si>
  <si>
    <t>พรมและสิ่งปูพื้นที่ทำจากสิ่งทอ</t>
  </si>
  <si>
    <t>พรมและสิ่งทอปูพื้นอื่นๆ ทำโดยวิธีผูกปม จะจัดทำแล้วหรือไม่ก็ตาม</t>
  </si>
  <si>
    <t>พรมและสิ่งทอปูพื้นอื่นๆ ทำโดยวิธีทอ ไม่ได้ทำปุยแบบทัฟต์หรือแบบฟล็อก จะจัดทำแล้วหรือไม่ก็ตาม รวมถึง “เคเลม” “ซูแม็ก”  “คารามานี” และพรมผืนทอด้วยมือที่คล้ายกัน</t>
  </si>
  <si>
    <t>พรมและสิ่งทอปูพื้นอื่นๆ ทำปุยแบบทัฟต์ จะจัดทำแล้วหรือไม่ก็ตาม</t>
  </si>
  <si>
    <t>พรมและสิ่งทอปูพื้นอื่นๆ ซึ่งมิได้จัดประเภทไว้ในที่อื่น</t>
  </si>
  <si>
    <t>บริการรับจ้างเหมาที่เป็นส่วนหนึ่งของการผลิตพรมและสิ่งปูพื้นที่ทำจากสิ่งทอ</t>
  </si>
  <si>
    <t>เชือก เชือกเส้นใหญ่ ตาข่าย แห และอวน</t>
  </si>
  <si>
    <t>เชือกชนิดทไวน์ คอร์เดจ โรป และชนิดเคเบิล จะถักตามยาวหรือถักแบบเปียหรือไม่ก็ตาม และจะอาบซึม เคลือบ หุ้มหรือหุ้มปลอก ด้วยยางหรือพลาสติกหรือไม่ก็ตาม</t>
  </si>
  <si>
    <t>ตาข่ายแบบผูกปมที่ทำจากเชือกชนิดทไวน์ ชนิดคอร์เดจ หรือชนิดโรป และตาข่ายอื่นๆ ที่จัดทำแล้ว ที่ทำจากวัตถุทอ รวมถึงของที่ทำจากด้าย แถบ ซึ่งมิได้จัดประเภทไว้ในที่อื่น</t>
  </si>
  <si>
    <t>เศษผ้าเก่าหรือเศษผ้าใหม่ เชือกชนิดทไวน์ ชนิดคอร์เดจ ชนิดโรป และเคเบิล ที่ใช้ไม่ได้ และของที่ใช้จนหมดสภาพ ที่ทำจากเชือกดังกล่าว</t>
  </si>
  <si>
    <t>บริการรับจ้างเหมาที่เป็นส่วนหนึ่งของการผลิตเชือก เชือกเส้นใหญ่ ตาข่าย แห และอวน</t>
  </si>
  <si>
    <t>สิ่งทอประเภทอื่นๆ ซึ่งมิได้จัดประเภทไว้ในที่อื่น</t>
  </si>
  <si>
    <t>ผ้าชนิดไม่ทอ</t>
  </si>
  <si>
    <t>ผ้าชนิดไม่ทอ จะอาบซึม เคลือบ หุ้ม หรืออัดเป็นชั้น หรือไม่ก็ตาม</t>
  </si>
  <si>
    <t>บริการรับจ้างเหมาที่เป็นส่วนหนึ่งของการผลิตผ้าชนิดไม่ทอ</t>
  </si>
  <si>
    <t>สิ่งทอชนิดใช้ในทางอุตสาหกรรม</t>
  </si>
  <si>
    <t>ด้ายที่มีโลหะอยู่ด้วย จะทำแบบกิมพ์หรือไม่ก็ตาม</t>
  </si>
  <si>
    <t>ผ้าทอที่ทำจากด้ายโลหะและผ้าทอที่ทำจากด้ายที่มีโลหะอยู่ด้วย ชนิดที่ใช้กับเครื่องแต่งกาย ใช้เป็นผ้าตกแต่ง หรือเพื่อวัตถุประสงค์ที่คล้ายกัน ซึ่งมิได้จัดประเภทไว้ในที่อื่น</t>
  </si>
  <si>
    <t>ด้ายยางและด้ายยางชนิดคอร์ด ที่หุ้มด้วยสิ่งทอ รวมถึงด้ายสิ่งทอและแถบและของที่คล้ายกัน ที่ทำจากวัตถุสังเคราะห์และวัตถุทอเทียม ที่อาบซึม เคลือบ หุ้มหรือหุ้มปลอกด้วยยางหรือพลาสติก</t>
  </si>
  <si>
    <t>ผ้าสิ่งทอ ที่อาบซึม เคลือบ หุ้มหรือหุ้มปลอก ซึ่งมิได้จัดประเภทไว้ในที่อื่น</t>
  </si>
  <si>
    <t>ผ้าใบยางรถ (ผ้าไทร์คอร์ด) ที่ทำจากด้ายทนแรงดึงสูง ซึ่งทำจากไนลอนหรือโพลิอะไมด์อื่นๆ และโพลิเอสเทอร์หรือวิสโคสเรยอน</t>
  </si>
  <si>
    <t>ผลิตภัณฑ์และของที่ทำจากสิ่งทอเพื่อใช้ทางเทคนิค</t>
  </si>
  <si>
    <t>ผ้าทอหน้าแคบ รวมถึงของที่ใช้ตกแต่งและของที่คล้ายกัน</t>
  </si>
  <si>
    <t>บริการรับจ้างเหมาที่เป็นส่วนหนึ่งของการผลิตสิ่งทอชนิดใช้ในทางอุตสาหกรรม</t>
  </si>
  <si>
    <t>ผ้าโปร่งชนิดทูลล์และผ้าตาข่ายอื่นๆ (ยกเว้นผ้าทอและผ้าถักแบบนิตหรือแบบโครเชต์) รวมถึงผ้าลูกไม้ที่เป็นผืน เป็นแถบ หรือเป็นลวดลายสำหรับใช้ประดับ</t>
  </si>
  <si>
    <t>ผ้าปัก เป็นผืน เป็นแถบ หรือเป็นชิ้นลวดลาย</t>
  </si>
  <si>
    <t>สักหลาด จะอาบซึม เคลือบ หุ้ม หรืออัดเป็นชั้น หรือไม่ก็ตาม</t>
  </si>
  <si>
    <t>เส้นใยสิ่งทอที่มีความยาวไม่เกิน 5 มิลลิเมตร (ฟล็อก) ผงสิ่งทอและมิลเน็ป</t>
  </si>
  <si>
    <t>ด้ายกิมพ์ แถบ และของที่คล้ายกัน ที่ทำจากวัตถุสังเคราะห์และวัตถุทอเทียม ที่มีความกว้างไม่เกิน 5 มิลลิเมตร ที่ทำแบบกิมพ์ (ยกเว้นด้ายที่มีโลหะอยู่ด้วย ที่เป็นด้ายใยยาวเดี่ยวสังเคราะห์หรือใยยาวเดี่ยวเทียม และด้ายกิมพ์ที่ทำจากขนม้า) ด้ายเชนิลล์ ด้ายฟล็อกเชนิลล์ และลูปเวลยาร์น</t>
  </si>
  <si>
    <t xml:space="preserve">ผลิตภัณฑ์สิ่งทอที่บุนวม เป็นผืน มีวัตถุทอตั้งแต่หนึ่งชั้นขึ้นไป ประกอบเข้ากับแผ่นนวม โดยการเย็บติดหรือโดยวิธีอื่น </t>
  </si>
  <si>
    <t>สิ่งทอและผลิตภัณฑ์สิ่งทอประเภทอื่นๆ ซึ่งมิได้จัดประเภทไว้ในที่อื่น</t>
  </si>
  <si>
    <t xml:space="preserve">บริการรับจ้างเหมาที่เป็นส่วนหนึ่งของการผลิตสิ่งทอประเภทอื่นๆ ซึ่งมิได้จัดประเภทไว้ในที่อื่น </t>
  </si>
  <si>
    <t>บริการรับจ้างเหมาที่เป็นส่วนหนึ่งของการผลิตสิ่งทอประเภทอื่นๆ ซึ่งมิได้จัดประเภทไว้ในที่อื่น</t>
  </si>
  <si>
    <t>เสื้อผ้าเครื่องแต่งกาย</t>
  </si>
  <si>
    <t>เสื้อผ้าเครื่องแต่งกาย (ยกเว้นเสื้อผ้าเครื่องแต่งกายที่ทำจากขนสัตว์)</t>
  </si>
  <si>
    <t>เสื้อผ้าเครื่องแต่งกาย (ยกเว้นร้านตัดเย็บเสื้อผ้า)</t>
  </si>
  <si>
    <t>เสื้อผ้าเครื่องแต่งกายที่ใช้ในงานอุตสาหกรรม วิชาชีพ นักเรียน และนักศึกษา</t>
  </si>
  <si>
    <t>เสื้อผ้าเครื่องแต่งกายของบุรุษที่ใช้ในทางอุตสาหกรรม วิชาชีพ</t>
  </si>
  <si>
    <t>เครื่องแต่งกายเป็นชุด แจ็กเก็ต เสื้อเบลเซอร์ ของบุรุษ (ยกเว้นที่ทำจากขนแกะหรือขนละเอียดของสัตว์) ที่ใช้ในทางอุตสาหกรรม วิชาชีพ</t>
  </si>
  <si>
    <t>กางเกงขายาว ชุดหมีที่มีเอี๊ยมและสายโยง กางเกงขาสามส่วน และกางเกงขาสั้น ของบุรุษที่ใช้ในทางอุตสาหกรรม วิชาชีพ</t>
  </si>
  <si>
    <t>เสื้อผ้าเครื่องแต่งกายของสตรีที่ใช้ในทางอุตสาหกรรม วิชาชีพ</t>
  </si>
  <si>
    <t>เครื่องแต่งกายเป็นชุด แจ็กเก็ต เสื้อเบลเซอร์ ของสตรี (ยกเว้นที่ทำจากขนแกะหรือขนละเอียดของสัตว์) ที่ใช้ในทางอุตสาหกรรม วิชาชีพ</t>
  </si>
  <si>
    <t>กางเกงขายาว ชุดหมีที่มีเอี๊ยมและสายโยง กางเกงขาสามส่วน และกางเกงขาสั้น ของสตรีที่ใช้ในทางอุตสาหกรรม วิชาชีพ</t>
  </si>
  <si>
    <t>เครื่องแต่งกายอื่นๆ ของบุรุษและสตรีที่ใช้ในทางอุตสาหกรรม วิชาชีพ เช่น ชุดเสื้อกาวน์ เป็นต้น</t>
  </si>
  <si>
    <t>ชุดนักเรียนและนักศึกษาของเด็กชายหรือบุรุษ</t>
  </si>
  <si>
    <t>ชุดนักเรียนและนักศึกษาของเด็กหญิงหรือสตรี</t>
  </si>
  <si>
    <t>เสื้อผ้าเครื่องแต่งกายที่ใช้แล้ว ที่ใช้ในงานอุตสาหกรรม วิชาชีพ นักเรียน และนักศึกษา</t>
  </si>
  <si>
    <t>บริการรับจ้างเหมาที่เป็นส่วนหนึ่งของการผลิตเสื้อผ้าเครื่องแต่งกายที่ใช้ในทางอุตสาหกรรม วิชาชีพ นักเรียน และนักศึกษา</t>
  </si>
  <si>
    <t>เสื้อผ้าชั้นนอก</t>
  </si>
  <si>
    <t>เสื้อผ้าชั้นนอกของบุรุษหรือเด็กชาย</t>
  </si>
  <si>
    <t xml:space="preserve">เสื้อโอเวอร์โค้ต คาร์โค้ต เคป โคล้ก อาโนรัก (รวมถึงแจ็กเก็ตที่ใส่เล่นสกี) เสื้อกันลม แจ็กเก็ตกันลม และเสื้อคลุมที่คล้ายกัน </t>
  </si>
  <si>
    <t>เสื้อสูทและเครื่องแต่งกายที่เป็นชุด</t>
  </si>
  <si>
    <t>แจ็กเก็ตและเสื้อเบลเซอร์</t>
  </si>
  <si>
    <t>กางเกงขายาวชุดหมีที่มีเอี๊ยมและสายโยง กางเกงขาสามส่วน และกางเกงขาสั้น</t>
  </si>
  <si>
    <t>เสื้อผ้าชั้นนอกของสตรีหรือเด็กหญิง</t>
  </si>
  <si>
    <t>เสื้อโอเวอร์โค้ต คาร์โค้ต เคป โคล้ก อาโนรัก (รวมถึงแจ็กเก็ตที่ใส่เล่นสกี) เสื้อกันลม แจ็กเก็ตกันลม และเสื้อคลุมที่คล้ายกัน</t>
  </si>
  <si>
    <t>เสื้อกระโปรงชุด กระโปรง และกระโปรงกางเกง</t>
  </si>
  <si>
    <t>เสื้อผ้าชั้นนอกที่ใช้แล้ว</t>
  </si>
  <si>
    <t>บริการรับจ้างเหมาที่เป็นส่วนหนึ่งของการผลิตเสื้อผ้าชั้นนอก</t>
  </si>
  <si>
    <t>เสื้อผ้าชั้นใน</t>
  </si>
  <si>
    <t>เสื้อผ้าชั้นในของบุรุษหรือเด็กชาย</t>
  </si>
  <si>
    <t>เสื้อเชิ้ต</t>
  </si>
  <si>
    <t>เสื้อชั้นในชนิดชิงเกลตและชนิดอื่นๆ กางเกงชั้นใน กางเกงชั้นในชนิด บรีฟ ไนท์เชิ้ต พิจามา เสื้อคลุมอาบน้ำ เสื้อคุมแต่งตัว และของที่คล้ายกัน</t>
  </si>
  <si>
    <t>เสื้อผ้าชั้นในของสตรีหรือเด็กหญิง</t>
  </si>
  <si>
    <t>เสื้อเบลาส์ เชิ้ต และเชิ้ตเบลาส์</t>
  </si>
  <si>
    <t>กางเกงชั้นใน กางเกงชั้นในชนิดบรีฟ ไนท์เชิ้ต พิจามา เสื้อคลุมอาบน้ำ เสื้อคลุมแต่งตัว และของที่คล้ายกัน</t>
  </si>
  <si>
    <t>เครื่องยกทรง เครื่องรัดเอวและตะโพก เครื่องรัดทรง สายโยงกางเกง สายโยงถุงน่อง สายรัดถุงน่องและของที่คล้ายกัน</t>
  </si>
  <si>
    <t>ทีเชิ้ต เสื้อชั้นในชนิดชิงเกลต และเสื้อชั้นในอย่างอื่น จากผ้าที่ได้จากการถักแบบนิตหรือโครเชต์และนำมาตัดเย็บ</t>
  </si>
  <si>
    <t>เสื้อผ้าชั้นในที่ใช้แล้ว</t>
  </si>
  <si>
    <t>บริการรับจ้างเหมาที่เป็นส่วนหนึ่งของการผลิตเสื้อผ้าชั้นใน</t>
  </si>
  <si>
    <t>เสื้อผ้าเด็กอ่อน</t>
  </si>
  <si>
    <t>เสื้อผ้าและของที่ใช้ประกอบเครื่องแต่งกายของเด็กอ่อนหรือเด็กเล็ก</t>
  </si>
  <si>
    <t>เสื้อผ้าเด็กอ่อนและของประกอบเครื่องแต่งกายของเด็กอ่อนที่ใช้แล้ว</t>
  </si>
  <si>
    <t>บริการรับจ้างเหมาที่เป็นส่วนหนึ่งของการผลิตเสื้อผ้าเด็กอ่อน</t>
  </si>
  <si>
    <t>เสื้อผ้ากีฬา</t>
  </si>
  <si>
    <t>ชุดดำน้ำ ชุดประดาน้ำ เวทสูท และชุดที่คล้ายกัน ที่ทำจากผ้าที่เคลือบและอาบซึม</t>
  </si>
  <si>
    <t>ชุดวอร์ม ชุดสกี ชุดว่ายน้ำ และเสื้อผ้ากีฬาอื่นๆ</t>
  </si>
  <si>
    <t>เสื้อผ้ากีฬาที่ใช้แล้ว</t>
  </si>
  <si>
    <t>บริการรับจ้างเหมาที่เป็นส่วนหนึ่งของการผลิตเสื้อผ้ากีฬา</t>
  </si>
  <si>
    <t>เสื้อผ้าเครื่องแต่งกายจากหนัง</t>
  </si>
  <si>
    <t>เสื้อผ้าเครื่องแต่งกายที่ทำจากหนังฟอกหรือหนังอัด</t>
  </si>
  <si>
    <t>เสื้อผ้าเครื่องแต่งกายจากหนังที่ใช้แล้ว</t>
  </si>
  <si>
    <t>บริการรับจ้างเหมาที่เป็นส่วนหนึ่งของการผลิตเสื้อผ้าเครื่องแต่งกายจากหนัง</t>
  </si>
  <si>
    <t>บริการตัดเย็บเสื้อผ้า</t>
  </si>
  <si>
    <t>เครื่องประกอบเครื่องแต่งกาย</t>
  </si>
  <si>
    <t>หมวกและเครื่องสวมศีรษะ</t>
  </si>
  <si>
    <t xml:space="preserve">ทรงหมวก ตัวหมวก และฮู้ด </t>
  </si>
  <si>
    <t>หมวกและเครื่องสวมศีรษะอื่นๆ</t>
  </si>
  <si>
    <t>เครื่องสวมศีรษะอื่นๆ ซึ่งมิได้จัดประเภทไว้ในที่อื่น และส่วนประกอบเครื่องสวมศีรษะ</t>
  </si>
  <si>
    <t>หมวกและเครื่องสวมศีรษะที่ใช้แล้ว</t>
  </si>
  <si>
    <t>บริการรับจ้างเหมาที่เป็นส่วนหนึ่งของการผลิตหมวกและเครื่องสวมศีรษะ</t>
  </si>
  <si>
    <t>เครื่องประกอบเครื่องแต่งกายอื่นๆ</t>
  </si>
  <si>
    <t>ถุงมือ ที่ไม่ได้ถักแบบนิตหรือโครเชต์</t>
  </si>
  <si>
    <t>ของที่ใช้ประกอบเครื่องแต่งกายที่จัดทำแล้วอื่นๆ และส่วนประกอบของเสื้อผ้าหรือส่วนประกอบของของที่ใช้ประกอบกับเครื่องแต่งกาย ที่ไม่ได้ถักแบบนิตหรือโครเชต์</t>
  </si>
  <si>
    <t>ของที่ใช้ประกอบกับเครื่องแต่งกายอื่นๆ ที่ทำจากหนังฟอกหรือหนังอัด เช่น เข็มขัดและสายสะพาย สายรัดข้อมือ ถุงมือ (ยกเว้นถุงมือที่ใช้ในการกีฬา) เป็นต้น</t>
  </si>
  <si>
    <t>เครื่องประกอบเครื่องแต่งกายที่ใช้แล้ว</t>
  </si>
  <si>
    <t>บริการับจ้างเหมาที่เป็นส่วนหนึ่งของการผลิตเครื่องประกอบเครื่องแต่งกายอื่นๆ</t>
  </si>
  <si>
    <t>สิ่งของที่ทำจากขนสัตว์</t>
  </si>
  <si>
    <t>บริการรับจ้างเหมาที่เป็นส่วนหนึ่งของการผลิตสิ่งของที่ทำจากขนสัตว์</t>
  </si>
  <si>
    <t>เครื่องแต่งกายที่ทำจากการถักนิตและโครเชต์</t>
  </si>
  <si>
    <t>เสื้อผ้าเครื่องแต่งกายที่ทำจากการถักนิตและโครเชต์</t>
  </si>
  <si>
    <t>เสื้อผ้าเครื่องแต่งกายที่ทำจากการถักนิตและโครเชต์ที่ใช้แล้ว</t>
  </si>
  <si>
    <t>บริการรับจ้างเหมาที่เป็นส่วนหนึ่งของการผลิตเสื้อผ้าเครื่องแต่งกาย ที่ทำจากการถักนิตและโครเชต์</t>
  </si>
  <si>
    <t>ถุงเท้า ถุงน่อง เสื้อกางเกงยืดแนบเนื้อ ที่ทำจากการถักนิตและโครเชต์</t>
  </si>
  <si>
    <t>ถุงน่อง เสื้อกางเกงยืดแนบเนื้อ ถุงเท้าชนิดต่างๆ รวมถึงถุงน่องชนิดแกรดูเอเต็ดคอมเพรสชัน (เช่น ถุงน่องสำหรับช่วยรักษาเส้นเลือดขอด) และรองเท้าที่ไม่มีพื้นเสริม ที่ถักแบบนิตหรือโครเชต์</t>
  </si>
  <si>
    <t>ของที่ใช้ประกอบเครื่องแต่งกาย ที่ถักแบบนิตหรือโครเชต์</t>
  </si>
  <si>
    <t xml:space="preserve">ถุงมือ ที่ถักแบบนิตหรือโครเชต์ </t>
  </si>
  <si>
    <t>ของที่ใช้ประกอบเครื่องแต่งกายที่จัดทำแล้วอื่นๆ และส่วนประกอบของเสื้อผ้าหรือส่วนประกอบของของที่ใช้ประกอบกับเครื่องแต่งกาย ถักแบบนิตหรือโครเชต์ เช่น ผ้าคลุมไหล่ ผ้าพันคอ ผ้าโปร่งคลุมศีรษะ ผ้าคลุมหน้า ผ้าผูกคอ หูกระต่าย ปลอกรัดข้อมือ ข้อเข่า หรือข้อเท้า สต็อกกิ้งและอันเดอร์สต็อกกิ้ง เป็นต้น</t>
  </si>
  <si>
    <t>บริการรับจ้างเหมาที่เป็นส่วนหนึ่งของการผลิตถุงเท้า ถุงน่อง เสื้อกางเกงยืดแนบเนื้อ ที่ทำจากการถักนิตหรือโครเชต์</t>
  </si>
  <si>
    <t>เครื่องหนังและผลิตภัณฑ์ที่เกี่ยวข้อง</t>
  </si>
  <si>
    <t>หนังฟอก กระเป๋าเดินทาง กระเป๋าถือ อาน และเครื่องลากเทียมสัตว์ การตกแต่งและย้อมสีขนสัตว์</t>
  </si>
  <si>
    <t>หนังฟอก รวมถึงการตกแต่งและย้อมสีขนสัตว์</t>
  </si>
  <si>
    <t>หนังฟอก  รวมถึงการตกแต่งและย้อมสีขนสัตว์</t>
  </si>
  <si>
    <t>หนังเฟอร์ที่ฟอกหรือตกแต่งแล้ว (รวมถึง หัว หาง อุ้งเท้า และชิ้นหรือส่วนตัดอื่นๆ) ที่ยังไม่ประกอบหรือที่ประกอบเข้าด้วยกันแล้ว (โดยไม่มีวัตถุอื่นประกอบร่วมอยู่ด้วย)</t>
  </si>
  <si>
    <t>หนังฟอกชนิดชามัว หนังฟอกชนิดเพเทนต์และชนิดเพเทนต์ลามิเนเต็ด รวมถึงหนังฟอกที่เคลือบด้วยโลหะ</t>
  </si>
  <si>
    <t xml:space="preserve">หนังฟอกชนิดชามัว รวมถึงชนิดคอมบิเนชันชามัว </t>
  </si>
  <si>
    <t>หนังฟอกชนิดเพเทนต์และชนิดเพเทนต์ลามิเนเต็ด รวมถึงหนังฟอกที่เคลือบด้วยโลหะ</t>
  </si>
  <si>
    <t>หนังฟอกของสัตว์จำพวกโคกระบือหรือจำพวกม้า ไม่มีขนติด</t>
  </si>
  <si>
    <t>หนังฟอกของสัตว์จำพวกโคกระบือ ไม่มีขนติด ทั้งตัวจะผ่าหรือไม่ก็ตาม</t>
  </si>
  <si>
    <t>หนังฟอกของสัตว์จำพวกโคกระบือ ไม่มีขนติด (ยกเว้นทั้งตัว)</t>
  </si>
  <si>
    <t>หนังฟอกของสัตว์จำพวกม้า ไม่มีขนติด</t>
  </si>
  <si>
    <t>หนังฟอกของสัตว์จำพวกแกะ แพะ หรือหมู ไม่มีขนติด</t>
  </si>
  <si>
    <t>หนังฟอก ของแกะหรือลูกแกะ ไม่มีขนติด จะผ่าหรือไม่ก็ตาม</t>
  </si>
  <si>
    <t>หนังฟอก ของแพะหรือลูกแพะ ไม่มีขนติด จะผ่าหรือไม่ก็ตาม</t>
  </si>
  <si>
    <t>หนังฟอก ของสุกร ไม่มีขนติด จะผ่าหรือไม่ก็ตาม</t>
  </si>
  <si>
    <t>หนังฟอกของสัตว์อื่นๆ ไม่มีขนติด รวมถึงหนังอัดที่มีหนังฟอกเป็นหลัก</t>
  </si>
  <si>
    <t>หนังฟอกของสัตว์อื่นๆ ไม่มีขนติด จะผ่าหรือไม่ก็ตาม</t>
  </si>
  <si>
    <t>หนังอัดที่มีหนังฟอกหรือเส้นใยหนังฟอกเป็นหลัก ที่เป็นแผ่นหนา แผ่นบาง หรือเป็นแถบ จะเป็นม้วนหรือไม่ก็ตาม</t>
  </si>
  <si>
    <t>บริการรับจ้างเหมาที่เป็นส่วนหนึ่งของการผลิตหนังฟอก รวมถึง การตกแต่งและย้อมสีขนสัตว์</t>
  </si>
  <si>
    <t>กระเป๋าเดินทาง กระเป๋าถือ และสิ่งที่คล้ายกัน อานและเครื่องลากเทียมสัตว์</t>
  </si>
  <si>
    <t>กระเป๋าเดินทาง กระเป๋าถือ และสิ่งที่คล้ายกัน</t>
  </si>
  <si>
    <t>กระเป๋าเดินทาง กระเป๋าถือ และสิ่งที่คล้ายกัน ที่ทำจากหนังฟอก หนังอัด แผ่นพลาสติก วัตถุทอ วัลแคไนซ์ไฟเบอร์ หรือกระดาษ รวมถึงชุดเดินทางสำหรับใส่ของใช้ส่วนตัวในการประเทืองโฉม การเย็บ หรือใช้ทำความสะอาดรองเท้าหรือเสื้อผ้า</t>
  </si>
  <si>
    <t xml:space="preserve">สายนาฬิกาของนาฬิกาชนิดควอตซ์และส่วนประกอบของสายนาฬิกาดังกล่าว ที่ทำจากวัตถุใดๆ (ยกเว้นโลหะ) เช่น หนังหรือหนังเทียม สิ่งทอ พลาสติก </t>
  </si>
  <si>
    <t>บริการรับจ้างเหมาที่เป็นส่วนหนึ่งของการผลิตกระเป๋าเดินทาง กระเป๋าถือ และสิ่งที่คล้ายกัน</t>
  </si>
  <si>
    <t>เครื่องลากเทียมสัตว์และของเล่นสัตว์</t>
  </si>
  <si>
    <t xml:space="preserve">	เครื่องอาน เครื่องลากเทียมสัตว์ และของเล่นสัตว์</t>
  </si>
  <si>
    <t>เครื่องอาน เครื่องลากเทียมสัตว์ และของเล่นสัตว์</t>
  </si>
  <si>
    <t>บริการรับจ้างเหมาที่เป็นส่วนหนึ่งของการผลิตเครื่องลากเทียมสัตว์และของเล่นสัตว์</t>
  </si>
  <si>
    <t>สิ่งของอื่นๆ ที่ทำจากหนังฟอกหรือหนังอัด</t>
  </si>
  <si>
    <t>บริการรับจ้างเหมาที่เป็นส่วนหนึ่งของการผลิตสิ่งของอื่นๆ ที่ทำจากหนังฟอกหรือหนังอัด</t>
  </si>
  <si>
    <t>รองเท้า</t>
  </si>
  <si>
    <t>รองเท้าหนัง</t>
  </si>
  <si>
    <t>บริการรับจ้างเหมาที่เป็นส่วนหนึ่งของการผลิตรองเท้าหนัง</t>
  </si>
  <si>
    <t>รองเท้ายาง</t>
  </si>
  <si>
    <t>บริการรับจ้างเหมาที่เป็นส่วนหนึ่งของการผลิตรองเท้ายาง</t>
  </si>
  <si>
    <t>รองเท้าไม้</t>
  </si>
  <si>
    <t>บริการรับจ้างเหมาที่เป็นส่วนหนึ่งของการผลิตรองเท้าไม้</t>
  </si>
  <si>
    <t>รองเท้ากีฬา</t>
  </si>
  <si>
    <t>รองเท้าเทนนิส รองเท้าบาสเกตบอล รองเท้ายิม รองเท้าสำหรับฝึก และรองเท้าที่คล้ายกัน ที่มีพื้นด้านนอกทำจากยางหรือพลาสติก</t>
  </si>
  <si>
    <t>รองเท้ากีฬาอื่นๆ (ยกเว้นรองเท้าสกีและรองเท้าเสก็ต)</t>
  </si>
  <si>
    <t>บริการรับจ้างเหมาที่เป็นส่วนหนึ่งของการผลิตรองเท้ากีฬา</t>
  </si>
  <si>
    <t>รองเท้าอื่นๆ</t>
  </si>
  <si>
    <t>รองเท้าที่มีโลหะป้องกันหัวรองเท้าประกอบอยู่ด้วย</t>
  </si>
  <si>
    <t>รองเท้าพลาสติก</t>
  </si>
  <si>
    <t>รองเท้าผ้า</t>
  </si>
  <si>
    <t>รองเท้าอื่นๆ ซึ่งมิได้จัดประเภทไว้ในที่อื่น</t>
  </si>
  <si>
    <t>ส่วนประกอบของรองเท้า (รวมถึงส่วนบนของรองเท้าจะติดกับพื้นรองเท้า (ยกเว้นพื้นรองเท้าด้านนอก) ด้วยหรือไม่ก็ตาม) พื้นด้านในที่ถอดออกได้ เบาะรองส้นและของที่คล้ายกัน รวมถึงสนับแข้ง เครื่องหุ้มขาและของที่คล้ายกัน และส่วนประกอบของของดังกล่าว</t>
  </si>
  <si>
    <t>บริการรับจ้างเหมาที่เป็นส่วนหนึ่งของการผลิตรองเท้าอื่นๆ</t>
  </si>
  <si>
    <t>ไม้และผลิตภัณฑ์จากไม้และไม้ก๊อก (ยกเว้นเฟอร์นิเจอร์) สิ่งของจากฟางและวัสดุถักสานอื่นๆ</t>
  </si>
  <si>
    <t>ไม้ที่ได้จากการเลื่อยและไส</t>
  </si>
  <si>
    <t>ไม้ที่ได้จากการเลื่อย</t>
  </si>
  <si>
    <t>ไม้ที่ได้จากการเลื่อยหรือถากตามยาว ฝานหรือลอก จะไส ขัด หรือต่อปลายหรือไม่ก็ตาม รวมถึงไม้หมอนรถไฟหรือรถราง ที่ไม่อาบซึมด้วยสารใดๆ</t>
  </si>
  <si>
    <t>ไม้ที่มีขอบปลายหรือหน้าไม้เป็นรูปทรงอย่างต่อเนื่อง รวมถึงฝอยไม้และผงไม้ และไม้เป็นชิ้นหรือสะเก็ด</t>
  </si>
  <si>
    <t>ไม้ (รวมถึงแถบไม้และไม้ลวดลายสำหรับปูพื้นแบบปาร์เกต์ ยังไม่ประกอบเข้าด้วยกัน) ที่มีขอบ ปลาย หรือหน้าไม้ ทำเป็นรูปทรงอย่างต่อเนื่อง (ทำเป็นลิ้น ร่อง บังใบ มุมเฉลียง ข้อต่อรูปตัววี คิ้ว กรอบ ทำให้มนหรือลักษณะที่คล้ายกัน) จะไส ขัด หรือต่อปลายหรือไม่ก็ตาม</t>
  </si>
  <si>
    <t>ฝอยไม้และผงไม้</t>
  </si>
  <si>
    <t>ไม้เป็นชิ้นหรือสะเก็ด</t>
  </si>
  <si>
    <t>บริการรับจ้างเหมาที่เป็นส่วนหนึ่งของการเลื่อยไม้</t>
  </si>
  <si>
    <t>บริการอบและอัดน้ำยาไม้</t>
  </si>
  <si>
    <t>ไม้ในลักษณะหยาบๆ และไม้หมอนรถไฟหรือรถราง ที่ผ่านกรรมวิธีรักษาเนื้อไม้</t>
  </si>
  <si>
    <t>ไม้ในลักษณะหยาบๆ ที่ผ่านกรรมวิธีใช้สีทา สีย้อม ครีโอโซต หรือ สารรักษาเนื้อไม้อื่นๆ</t>
  </si>
  <si>
    <t>ไม้หมอนรถไฟหรือรถราง ที่อาบซึมด้วยสารใดๆ</t>
  </si>
  <si>
    <t>ไม้อื่นๆ ในลักษณะหยาบ ที่ผ่านกรรมวิธีรักษาเนื้อไม้ เช่น ไม้รัดถัง ไม้ซีก รวมถึงไม้เสาเข็ม ไม้เสารั้ว และไม้เสาหลัก ที่เสี้ยมปลาย แต่ไม่ได้เลื่อยตามยาว ไม้ท่อนเล็กที่ตกแต่งอย่างหยาบๆ แต่ไม่กลึง ไม่ดัด หรือยังไม่ทำอย่างอื่น เหมาะสำหรับผลิตไม้เท้า ร่ม ด้ามเครื่องมือ หรือผลิตของที่คล้ายกัน ชิปวูดและของที่คล้ายกัน</t>
  </si>
  <si>
    <t>บริการอบและอัดน้ำยาไม้หรือรักษาไม้ทางเคมีด้วยสารถนอมรักษา เนื้อไม้หรือวัสดุอื่นๆ</t>
  </si>
  <si>
    <t>ผลิตภัณฑ์จากไม้ ไม้ก๊อก ฟาง และวัสดุถักสาน</t>
  </si>
  <si>
    <t>แผ่นไม้บางและแผ่นไม้ที่คล้ายกัน</t>
  </si>
  <si>
    <t>ไม้อัดพลายวูดไม้อัดวีเนียร์และลามิเนเต็ดวูดที่คล้ายกันแผ่นชิ้นไม้อัด (พาร์ติเคิลบอร์ด) และแผ่นไม้ที่คล้ายกัน ที่ทำจากไม้หรือวัตถุอื่นๆจำพวกไม้</t>
  </si>
  <si>
    <t>ไม้อัดพลายวูดไม้อัดวีเนียร์ และลามิเนเต็ดวูดที่คล้ายกัน ที่ทำจากไม้ไผ่</t>
  </si>
  <si>
    <t>ไม้อัดพลายวูดไม้อัดวีเนียร์ และลามิเนเต็ดวูดที่คล้ายกันอื่นๆ</t>
  </si>
  <si>
    <t>แผ่นชิ้นไม้อัด (พาร์ติเคิลบอร์ด) แผ่นชิ้นไม้อัดเรียงแถว (โอเอสบี) และแผ่นไม้ที่คล้ายกัน (เช่น แผ่นขี้กบอัด)  ที่ทำจากไม้หรือวัตถุอื่นๆ จำพวกไม้ จะเกาะหรือติดรวมกันด้วยเรซินหรือสารยึดอื่นๆ ที่เป็นอินทรีย์วัตถุหรือไม่ก็ตาม</t>
  </si>
  <si>
    <t>ไฟเบอร์บอร์ดที่ทำจากไม้หรือวัตถุอื่นๆ จำพวกไม้ จะยึดติดกันด้วยเรซินหรือสารอินทรีย์อื่นๆ หรือไม่ก็ตาม</t>
  </si>
  <si>
    <t>แผ่นไม้สำหรับทำไม้วีเนียร์ แผ่นไม้สำหรับทำไม้พลายวูด และไม้เพิ่มความแน่น</t>
  </si>
  <si>
    <t>แผ่นไม้สำหรับทำไม้วีเนียร์ (รวมถึงแผ่นไม้ที่ได้จากการฝานลามิเนเต็ดวูด) แผ่นไม้สำหรับทำไม้อัดพลายวูดหรือแผ่นไม้สำหรับทำสามิเนเต็ดวูดที่คล้ายกันอื่นๆ และไม้อื่นๆ ที่เลื่อยตามยาว ฝาน หรือลอก จะไส ขัด ต่อริม หรือต่อปลายหรือไม่ก็ตาม ที่มีความหนาไม่เกิน 6 มิลลิเมตร</t>
  </si>
  <si>
    <t>ไม้เพิ่มความแน่น ที่เป็นก้อนเหลี่ยม แผ่น แถบ หรือรูปทรงโพรไฟล์</t>
  </si>
  <si>
    <t>บริการรับจ้างเหมาที่เป็นส่วนหนึ่งของการผลิตแผ่นไม้บางและแผ่นไม้ ที่คล้ายกัน</t>
  </si>
  <si>
    <t>ผลิตภัณฑ์ไม้ที่ใช้ในการก่อสร้างและประกอบอาคาร</t>
  </si>
  <si>
    <t>แผงไม้ปูพื้น (ปาร์เกต์) ที่ประกอบแล้ว</t>
  </si>
  <si>
    <t>16220.10แผงไม้ปูพื้น (ปาร์เกต์) ที่ประกอบแล้ว</t>
  </si>
  <si>
    <t>ผลิตภัณฑ์ไม้อื่นๆ ที่ใช้ในการก่อสร้างและประกอบอาคาร</t>
  </si>
  <si>
    <t>หน้าต่าง หน้าต่างฝรั่งเศส และกรอบหน้าต่าง รวมถึงประตู กรอบประตู และธรณีประตู</t>
  </si>
  <si>
    <t>ไม้แบบที่จัดทำแล้วสำหรับงานก่อสร้างคอนกรีต กระเบื้องไม้แบบ ชิงเกิลและแบบเชก</t>
  </si>
  <si>
    <t>เสา คาน แผงไม้เซลลูล่าร์ และผลิตภัณฑ์ไม้อื่นๆ ที่ใช้ในการก่อสร้างและประกอบอาคาร ซึ่งมิได้จัดประเภทไว้ในที่อื่น</t>
  </si>
  <si>
    <t>อาคารสำเร็จรูปที่ทำจากไม้</t>
  </si>
  <si>
    <t>บริการรับจ้างเหมาที่เป็นส่วนหนึ่งของการผลิตผลิตภัณฑ์ไม้ที่ใช้ใน การก่อสร้างและประกอบอาคาร</t>
  </si>
  <si>
    <t>บริการรับจ้างเหมาที่เป็นส่วนหนึ่งของการผลิตผลิตภัณฑ์ไม้ที่ใช้ใน  การก่อสร้างและประกอบอาคาร</t>
  </si>
  <si>
    <t>ภาชนะบรรจุที่ทำจากไม้</t>
  </si>
  <si>
    <t>พัลเลต บ๊อกซ์พัลเลต และแผ่นอย่างอื่นที่ใช้ขนย้ายของ ที่ทำจากไม้ รวมถึงพัลเลตคอลลาร์</t>
  </si>
  <si>
    <t>ถังไม้แบบคาสก์ บาร์เรล แวต ทับ และผลิตภัณฑ์อื่นๆ ของช่างทำถังไม้ และส่วนประกอบของของดังกล่าวที่ทำจากไม้ รวมถึงไม้ทำถัง</t>
  </si>
  <si>
    <t>หีบ กล่อง หีบโผร่ง ถังทรงกระบอก และบรรจุภัณฑ์ที่คล้ายกัน รวมถึงแกนม้วนสายเคเบิล</t>
  </si>
  <si>
    <t>บริการรับจ้างเหมาที่เป็นส่วนหนึ่งของการผลิตภาชนะบรรจุที่ทำจากไม้</t>
  </si>
  <si>
    <t>ผลิตภัณฑ์อื่นๆ ที่ทำจากไม้ สิ่งของที่ทำจากไม้ก๊อก ฟาง และวัสดุถักสาน</t>
  </si>
  <si>
    <t>เครื่องใช้ในบ้านที่ทำจากไม้และไม้ก๊อก</t>
  </si>
  <si>
    <t xml:space="preserve">เครื่องมือ ตัวเครื่องมือ ด้ามเครื่องมือ ตัวและด้ามของไม้กวาดหรือแปรง </t>
  </si>
  <si>
    <t>เครื่องใช้บนโต๊ะอาหารและเครื่องใช้ในครัวที่ทำจากไม้</t>
  </si>
  <si>
    <t>ไม้ฝังมุกหรือประดับด้วยมุก งาช้าง หรือวัตถุอื่นๆ หีบและกล่องสำหรับเครื่องเพชรพลอยและรูปพรรณหรือของมีคม และของที่คล้ายกันที่ทำจากไม้ รูปแกะสลัก เครื่องประดับอื่นๆ ที่ทำจากไม้</t>
  </si>
  <si>
    <t>กรอบไม้สำหรับรูปถ่าย กระจกเงา หรือสำหรับของที่คล้ายกัน  รวมถึงสิ่งของอื่นๆ ที่ใช้ในบ้าน</t>
  </si>
  <si>
    <t>บริการรับจ้างเหมาที่เป็นส่วนหนึ่งของการผลิตเครื่องใช้ในบ้านที่ทำจากไม้และไม้ก๊อก</t>
  </si>
  <si>
    <t>ผลิตภัณฑ์ที่ทำจากฟางและวัสดุถักสาน</t>
  </si>
  <si>
    <t>สิ่งถักตามยาวและผลิตภัณฑ์ที่คล้ายกัน ที่ทำจากวัตถุถักสาน จะประกอบเข้าเป็นแถบหรือไม่ก็ตาม รวมถึงวัตถุถักสาน สิ่งถักตามยาว และผลิตภัณฑ์ที่คล้ายกันที่ทำจากวัตถุถักสานที่ยึดเข้าด้วยกันเป็นแนวขนานหรือที่ทอในลักษณะเป็นผืน จะเป็นของสำเร็จรูปหรือไม่ก็ตาม (เช่น เสื่อ สิ่งปูลาด ฉาก เป็นต้น)</t>
  </si>
  <si>
    <t>เครื่องจักสาน เครื่องสาน และของอื่นๆ ที่ทำเป็นรูปทรงโดยตรง จากวัตถุถักสาน รวมถึงของที่ทำจากรังบวบ (เช่น กระสอบ กระเป๋าถือ ตะกร้า เป็นต้น)</t>
  </si>
  <si>
    <t>บริการรับจ้างเหมาที่เป็นส่วนหนึ่งของการผลิตผลิตภัณฑ์ที่ทำจากฟางและวัสดุถักสาน</t>
  </si>
  <si>
    <t>ผลิตภัณฑ์อื่นๆ ที่ทำจากไม้และไม้ก๊อก ซึ่งมิได้จัดประเภทไว้ในที่อื่น</t>
  </si>
  <si>
    <t>ไม้ก๊อกธรรมชาติ ที่เอาเปลือกออกหรือทำเป็นรูปสี่เหลี่ยมอย่างหยาบๆ เป็นก้อน แผ่น แผ่นบาง หรือแถบ ที่เป็นรูปสี่เหลี่ยมผืนผ้าหรือสี่เหลี่ยมจตุรัส (รวมถึงไม้ก๊อกที่เพียงแต่ขึ้นรูปโดยยังไม่ลบเหลี่ยมสำหรับทำจุกหรือที่อุด) รวมถึงเศษไม้ก๊อก ไม้ก๊อกที่ทำให้แตก ทำเป็นเม็ด หรือที่บดแล้ว</t>
  </si>
  <si>
    <t>สิ่งของที่ทำจากไม้ก๊อก</t>
  </si>
  <si>
    <t>หุ่นทำรองเท้า หุ่นอัดรองเท้า และส่วนประกอบของรองเท้าที่ทำจากไม้</t>
  </si>
  <si>
    <t>สิ่งของอื่นๆ ที่ทำจากไม้ ซึ่งมิได้จัดประเภทไว้ในที่อื่น</t>
  </si>
  <si>
    <t>บริการรับจ้างเหมาที่เป็นส่วนหนึ่งของการผลิตผลิตภัณฑ์อื่นๆ ที่ทำจากไม้และไม้ก๊อก ซึ่งมิได้จัดประเภทไว้ในที่อื่น</t>
  </si>
  <si>
    <t>กระดาษและผลิตภัณฑ์กระดาษ</t>
  </si>
  <si>
    <t>เยื่อกระดาษ กระดาษ และกระดาษแข็ง</t>
  </si>
  <si>
    <t>เยื่อกระดาษ</t>
  </si>
  <si>
    <t>เยื่อไม้เคมีชนิดละลายน้ำ</t>
  </si>
  <si>
    <t>เยื่อไม้เคมีที่เป็นเยื่อไม้โซดาหรือเยื่อไม้ซัลเฟต (ยกเว้นชนิดละลายได้)</t>
  </si>
  <si>
    <t>เยื่อไม้เคมีที่เป็นเยื่อไม้ซัลไฟต์ (ยกเว้นชนิดละลายได้)</t>
  </si>
  <si>
    <t>เยื่อไม้บด เยื่อไม้กึ่งเคมี และเยื่อที่ได้จากวัตถุจำพวกเส้นใยเซลลูโลสอื่นๆ</t>
  </si>
  <si>
    <t>บริการรับจ้างเหมาที่เป็นส่วนหนึ่งของการผลิตเยื่อกระดาษ</t>
  </si>
  <si>
    <t>กระดาษและกระดาษแข็ง</t>
  </si>
  <si>
    <t>กระดาษพิมพ์หนังสือพิมพ์ กระดาษชนิดทำมือ และกระดาษหรือกระดาษแข็งที่ไม่เคลือบชนิดอื่นๆ สำหรับใช้ในทางกราฟฟิก</t>
  </si>
  <si>
    <t>กระดาษพิมพ์หนังสือพิมพ์ เป็นม้วนหรือเป็นแผ่น</t>
  </si>
  <si>
    <t>กระดาษและกระดาษแข็ง ชนิดทำด้วยมือ</t>
  </si>
  <si>
    <t xml:space="preserve">กระดาษและกระดาษแข็ง ชนิดที่ใช้สำหรับทำกระดาษไวแสง ไวความร้อน หรือไวต่อไฟฟ้า ชนิดที่ใช้สำหรับทำกระดาษปิดผนัง และชนิดใช้สำหรับทำกระดาษคาร์บอน </t>
  </si>
  <si>
    <t>กระดาษและกระดาษแข็ง ที่ไม่เคลือบ ชนิดใช้สำหรับวัตถุประสงค์อื่นๆ ทางกราฟฟิก</t>
  </si>
  <si>
    <t>กระดาษ ชนิดที่ใช้สำหรับทำกระดาษชำระหรือกระดาษเช็ดหน้า ทำกระดาษเช็ดมือหรือกระดาษเช็ดปาก และทำกระดาษที่คล้ายกัน ชนิดที่ใช้ตามบ้านเรือหรือเพื่อการอนามัย เซลลูโลสแวดดิ้งและ แผ่นเยื่อของเส้นใยเซลลูโลส จะทำให้ย่น ทำเป็นลอนหรือเป็นจีบ ทำลายดุน ปรุรู แต่งสีพื้นผิว ตกแต่งพื้นผิวหรือพิมพ์หรือไม่ก็ตาม เป็นม้วนหรือเป็นแผ่น</t>
  </si>
  <si>
    <t>กระดาษ ชนิดที่ใช้สำหรับทำกระดาษชำระหรือกระดาษเช็ดหน้า ทำกระดาษเช็ดมือหรือกระดาษเช็ดปาก และทำกระดาษที่คล้ายกัน ชนิดที่ใช้ตามบ้านเรือหรือเพื่อการอนามัย เซลลูโลสแวดดิ้งและแผ่นเยื่อของเส้นใยเซลลูโลส จะทำให้ย่น ทำเป็นลอนหรือเป็นจีบ ทำลายดุน ปรุรู แต่งสีพื้นผิว ตกแต่งพื้นผิวหรือพิมพ์หรือไม่ก็ตาม เป็นม้วนหรือเป็นแผ่น</t>
  </si>
  <si>
    <t>กระดาษสำหรับทำกล่องกระดาษ</t>
  </si>
  <si>
    <t>กระดาษคลาฟต์สำหรับทำผิวกล่อง (คลาฟต์ไลเนอร์) ที่ไม่ฟอก ไม่เคลือบ</t>
  </si>
  <si>
    <t>กระดาษคลาฟต์สำหรับทำผิวกล่องสีขาว ชนิดเคลือบ</t>
  </si>
  <si>
    <t>กระดาษฟลูติ้งกึ่งเคมี</t>
  </si>
  <si>
    <t>กระดาษรีไซเคิลฟลูติ้งและกระดาษฟลูติ้งอื่นๆ เช่น กระดาษฟลูติ้งที่ทำจากฟาง</t>
  </si>
  <si>
    <t>กระดาษ ที่ไม่เคลือบ</t>
  </si>
  <si>
    <t xml:space="preserve">กระดาษแซคคราฟต์และกระดาษคราฟต์อื่นๆ ที่ไม่เคลือบ รวมถึงกระดาษแซคคราฟต์ ทำให้ย่น หรือทำเป็นลอนหรือเป็นจีบ </t>
  </si>
  <si>
    <t>กระดาษซัลไฟต์แรปพิงเพเพอร์และกระดาษอื่นๆ ที่ไม่เคลือบ (ยกเว้นชนิดที่ใช้สำหรับเขียน พิมพ์ หรือวัตถุประสงค์อื่นทางกราฟฟิก)</t>
  </si>
  <si>
    <t>กระดาษและกระดาษแข็งที่เป็นกระดาษกรอง กระดาษและกระดาษแข็งที่เป็นกระดาษสักหลาด</t>
  </si>
  <si>
    <t>กระดาษมวนบุหรี่ ที่ไม่ได้ตัดตามขนาด</t>
  </si>
  <si>
    <t>กระดาษแข็ง ที่ไม่เคลือบ (ยกเว้นชนิดที่ใช้สำหรับเขียน พิมพ์ หรือวัตถุประสงค์อื่นทางกราฟฟิก)</t>
  </si>
  <si>
    <t>พาร์ชแมนต์ที่ทำจากพืช กระดาษชนิดกันน้ำมัน กระดาษลอกลาย กระดาษแก้ว และกระดาษมันอื่นๆ ชนิดโปร่งใสหรือโปร่งแสง เป็นม้วนหรือเป็นแผ่น</t>
  </si>
  <si>
    <t>กระดาษและกระดาษแข็ง ที่ผ่านกรรมวิธีแล้ว</t>
  </si>
  <si>
    <t>กระดาษอัดและกระดาษแข็งอัด (ทำโดยการติดกระดาษหรือกระดาษแข็งที่เป็นแผ่นเรียบเข้าด้วยกันเป็นชั้นด้วยสารยึดติด) ไม่เคลือบผิวหรืออาบซึม จะเสริมข้างในให้แข็งแรงหรือไม่ก็ตาม เป็นม้วนหรือเป็นแผ่น</t>
  </si>
  <si>
    <t>กระดาษและกระดาษแข็ง ที่ทำให้ย่น ทำเป็นลอน ทำลายดุน หรือปรุรู</t>
  </si>
  <si>
    <t>กระดาษและกระดาษแข็ง ชนิดใช้สำหรับเขียน พิมพ์ หรือวัตถุประสงค์อื่นทางกราฟฟิก ที่เคลือบด้วยแคโอลินหรือสารอนินทรีย์อื่นๆ</t>
  </si>
  <si>
    <t>กระดาษคราฟต์ (ยกเว้นชนิดที่ใช้สำหรับเขียน พิมพ์ หรือวัตถุประสงค์อื่นทางกราฟฟิก) ที่เคลือบด้วยแคโอลินหรือสารอนินทรีย์อื่นๆ</t>
  </si>
  <si>
    <t>กระดาษแข็งคราฟต์ (ยกเว้นชนิดที่ใช้สำหรับเขียน พิมพ์ หรือวัตถุประสงค์อื่นทางกราฟฟิก) ที่เคลือบด้วยแคโอลินหรือสารอนินทรีย์อื่นๆ</t>
  </si>
  <si>
    <t>กระดาษคาร์บอน กระดาษทำสำเนาในตัว หรือกระดาษอื่นๆ ที่ใช้ทำสำเนาหรือใช้ถ่ายทอดต้นแบบ เป็นม้วนหรือเป็นแผ่น</t>
  </si>
  <si>
    <t>กระดาษ กระดาษแข็ง เซลลูโลสแวดดิ้ง และแผ่นเยื่อของเส้นใยเซลลูโลส ที่เคลือบ อาบซึม หุ้ม แต่งสีพื้นผิว ตกแต่งพื้นผิวหรือพิมพ์ เป็นม้วนหรือเป็นแผ่น</t>
  </si>
  <si>
    <t>กระดาษแข็งสีเทาสำหรับใช้ด้านใน (ยกเว้นชนิดที่ใช้สำหรับเขียน พิมพ์ หรือวัตถุประสงค์อื่นทางกราฟฟิก) ที่เคลือบด้วยแคโอลินหรือ สารอนินทรีย์อื่นๆ</t>
  </si>
  <si>
    <t>กระดาษแข็งอื่นๆ (ยกเว้นชนิดที่ใช้สำหรับเขียน พิมพ์ หรือวัตถุประสงค์อื่นทางกราฟฟิก) ที่เคลือบด้วยแคโอลินหรือสารอนินทรีย์อื่นๆ</t>
  </si>
  <si>
    <t>บริการรับจ้างเหมาที่เป็นส่วนหนึ่งของการผลิตกระดาษและกระดาษแข็ง</t>
  </si>
  <si>
    <t>กระดาษลอนลูกฟูก กระดาษแข็งลอนลูกฟูก และบรรจุภัณฑ์ที่ทำจากกระดาษและกระดาษแข็ง</t>
  </si>
  <si>
    <t>กระดาษและกระดาษแข็งชนิดลูกฟูก เป็นม้วนหรือเป็นแผ่น</t>
  </si>
  <si>
    <t>กระสอบและถุง รวมถึงกรวย ที่ทำจากกระดาษ</t>
  </si>
  <si>
    <t>หีบ กล่อง และซอง ที่ทำจากกระดาษและกระดาษแข็งชนิดลูกฟูก</t>
  </si>
  <si>
    <t>หีบ กล่อง และซอง ที่พับได้ ที่ทำจากกระดาษและกระดาษแข็ง ที่ไม่ใช่ชนิดลูกฟูก</t>
  </si>
  <si>
    <t>แฟ้มชนิดกล่อง ถาดจดหมาย กล่องเก็บของ และของที่คล้ายกัน ชนิดที่ใช้สำนักงาน ร้านค้า หรือสถานที่คล้ายกัน รวมถึงซองใส่แผ่นเสียง</t>
  </si>
  <si>
    <t>บริการรับจ้างเหมาที่เป็นส่วนหนึ่งของการผลิตกระดาษลอนลูกฟูก กระดาษแข็งลอนลูกฟูก และบรรจุภัณฑ์ที่ทำจากกระดาษและ กระดาษแข็ง</t>
  </si>
  <si>
    <t xml:space="preserve">ผลิตภัณฑ์อื่นๆ ที่ทำจากกระดาษและกระดาษแข็ง </t>
  </si>
  <si>
    <t>ผลิตภัณฑ์ที่ทำจากกระดาษชนิดใช้ในครัวเรือนและสุขอนามัย</t>
  </si>
  <si>
    <t>กระดาษชำระ กระดาษเช็ดหน้า กระดาษทำความสะอาด กระดาษเช็ดมือ กระดาษปูโต๊ะ และกระดาษเช็ดปากที่ทำจากเยื่อกระดาษ กระดาษเซลลูโลสแวดดิ้ง หรือเยื่อของเส้นใยเซลลูโลส</t>
  </si>
  <si>
    <t>กระดาษอนามัยและกระดาษแทมปอน กระดาษผ้าอ้อมและกระดาษบุในผ้าอ้อมสำหรับเด็ก และของใช้ที่คล้ายกันเพื่อการอนามัย รวมถึงเครื่องแต่งกายและของที่ใช้ประกอบเครื่องแต่งกายที่ทำจากเยื่อกระดาษ กระดาษเซลลูโลสแวดดิ้ง หรือเยื่อของเส้นใยเซลลูโลส</t>
  </si>
  <si>
    <t>ถาด ชามจาน ถ้วย และของที่คล้ายกัน ที่ทำจากกระดาษหรือ กระดาษแข็ง</t>
  </si>
  <si>
    <t>บริการรับจ้างเหมาที่เป็นส่วนหนึ่งของการผลิตผลิตภัณฑ์ที่ทำจากกระดาษชนิดใช้ในครัวเรือนและสุขอนามัย</t>
  </si>
  <si>
    <t>อุปกรณ์เครื่องเขียนจากกระดาษ</t>
  </si>
  <si>
    <t>กระดาษคาร์บอน กระดาษทำสำเนาในตัว และกระดาษอื่นๆ ที่ใช้ทำสำเนาหรือใช้ถ่ายทอดต้นแบบ กระดาษไขและแผ่นพิมพ์ออฟเซ็ต ที่ทำจากกระดาษ รวมถึงกระดาษที่มีกัมหรือสารยึดติด</t>
  </si>
  <si>
    <t>ซองจดหมาย ไปรษณียบรรณ ไปรษณียบัตร และบัตรเขียนจดหมาย ที่ทำจากกระดาษหรือกระดาษแข็ง  รวมถึงกล่อง กระเป๋า ซอง และแฟ้ม ที่ทำจากกระดาษหรือกระดาษแข็ง ที่มีกระดาษจำพวกเครื่องเขียนบรรจุอยู่ด้วย</t>
  </si>
  <si>
    <t>สมุดทะเบียน สมุดบัญชี สมุดบันทึก สมุดสั่งของ สมุดใบเสร็จรับเงิน สมุดฉีกเขียนจดหมาย สมุดฉีกบันทึกความจำ ไดอารี่ และของที่คล้ายกัน สมุดแบบฝึกหัด กระดาษซับ ปกชนิดไบน์เดอร์ (สำหรับ แผ่นปลิวหรืออย่างอื่น) ปกพับ แฟ้ม แบบพิมพ์ทางธุรกิจที่พับหลายทบ ชุดกระดาษที่มีกระดาษคาร์บอนแทรก และเครื่องเขียนอื่นๆ ที่ทำจากกระดาษหรือกระดาษแข็ง รวมถึงอัลบั้มสำหรับของตัวอย่างหรือ การสะสม และปกหนังสือที่ทำจากกระดาษหรือกระดาษแข็ง</t>
  </si>
  <si>
    <t>บริการรับจ้างเหมาที่เป็นส่วนหนึ่งของการผลิตอุปกรณ์เครื่องเขียนจากกระดาษ</t>
  </si>
  <si>
    <t>ผลิตภัณฑ์อื่นๆ ที่ทำจากกระดาษและกระดาษแข็ง ซึ่งมิได้จัดประเภทไว้ในที่อื่น</t>
  </si>
  <si>
    <t>กระดาษปิดผนัง</t>
  </si>
  <si>
    <t>กระดาษปิดผนังและสิ่งปิดผนังที่คล้ายกัน รวมถึงกระดาษโปร่งใสใช้ติดกระจก</t>
  </si>
  <si>
    <t>สิ่งปิดผนังที่ทำจากสิ่งทอ</t>
  </si>
  <si>
    <t>ป้ายทุกชนิด ที่ทำจากกระดาษหรือกระดาษแข็ง จะพิมพ์หรือไม่ก็ตาม</t>
  </si>
  <si>
    <t>แท่งกรองและแผ่นกรอง ที่ทำจากเยื่อกระดาษ</t>
  </si>
  <si>
    <t>กระดาษมวนบุหรี่ กระสวย แกนม้วน กรวยม้วน ของรองรับที่คล้ายกัน กระดาษกรอง และของอื่นๆ ที่ทำจากกระดาษและกระดาษแข็ง ซึ่งมิได้จัดประเภทไว้ในที่อื่น</t>
  </si>
  <si>
    <t>บริการรับจ้างเหมาที่เป็นส่วนหนึ่งของการผลิตผลิตภัณฑ์อื่นๆ ที่ทำจากกระดาษและกระดาษแข็ง ซึ่งมิได้จัดประเภทไว้ในที่อื่น</t>
  </si>
  <si>
    <t>บริการพิมพ์และบริการทำซ้ำสื่อบันทึกข้อมูล</t>
  </si>
  <si>
    <t>บริการพิมพ์และบริการที่เกี่ยวข้องกับการพิมพ์</t>
  </si>
  <si>
    <t>บริการพิมพ์</t>
  </si>
  <si>
    <t>บริการพิมพ์หนังสือพิมพ์ วารสาร และนิตยสาร</t>
  </si>
  <si>
    <t>บริการพิมพ์หนังสือพิมพ์</t>
  </si>
  <si>
    <t>บริการพิมพ์วารสารและนิตยสาร</t>
  </si>
  <si>
    <t>บริการพิมพ์ฉลาก</t>
  </si>
  <si>
    <t>บริการพิมพ์ฉลากหรือป้าย</t>
  </si>
  <si>
    <t>บริการพิมพ์อื่นๆ</t>
  </si>
  <si>
    <t>บริการพิมพ์แสตมป์ อากรแสตมป์ ใบเอกสารสิทธิ สมาร์ทการ์ด เช็คและเอกสารหลักทรัพย์อื่นๆ และของที่คล้ายกัน</t>
  </si>
  <si>
    <t>บริการพิมพ์แคตตาล็อกโฆษณา หนังสือชี้ชวน โปสเตอร์ และงานโฆษณาสิ่งพิมพ์อื่นๆ</t>
  </si>
  <si>
    <t>บริการพิมพ์หนังสือ แผนที่ แผนภูมิอุทกศาสตร์ หรือแผนภูมิที่คล้ายกันทุกชนิด รวมถึงรูปภาพ ภาพดีไซน์ และภาพถ่าย โปสการ์ด</t>
  </si>
  <si>
    <t xml:space="preserve">บริการพิมพ์ลงบนพลาสติก แก้ว โลหะ ไม้ และเซรามิก </t>
  </si>
  <si>
    <t>บริการพิมพ์อื่นๆ ซึ่งมิได้จัดประเภทไว้ในที่อื่น</t>
  </si>
  <si>
    <t>บริการที่เกี่ยวข้องกับการพิมพ์</t>
  </si>
  <si>
    <t>บริการก่อนการพิมพ์</t>
  </si>
  <si>
    <t>เพลต ลูกกลิ้ง และองค์ประกอบอื่นๆ ที่ทำรอยพิมพ์แล้ว สำหรับใช้ในการพิมพ์</t>
  </si>
  <si>
    <t>บริการสนับสนุนที่เกี่ยวข้องกับการพิมพ์</t>
  </si>
  <si>
    <t>บริการอื่นๆ ที่เกี่ยวข้องกับการพิมพ์</t>
  </si>
  <si>
    <t>บริการอื่นๆ ที่เกี่ยวข้องกับการพิมพ์ เช่น บริการเข้าเล่มและตกแต่งสิ่งพิมพ์ เป็นต้น</t>
  </si>
  <si>
    <t>บริการทำซ้ำสื่อบันทึกข้อมูล</t>
  </si>
  <si>
    <t>บริการทำซ้ำสื่อบันทึกเสียง</t>
  </si>
  <si>
    <t>บริการทำซ้ำสื่อบันทึกวีดิโอ</t>
  </si>
  <si>
    <t>บริการทำสำเนาซอฟต์แวร์</t>
  </si>
  <si>
    <t>ถ่านโค้กและผลิตภัณฑ์ที่ได้จากการกลั่นปิโตรเลียม</t>
  </si>
  <si>
    <t>ถ่านโค้ก</t>
  </si>
  <si>
    <t>ถ่านโค้กและกึ่งถ่านโค้กที่ได้จากถ่านหิน ลิกไนต์ หรือพีต จะทำให้เกาะหรือติดรวมกันหรือไม่ก็ตาม รวมถึงรีทอร์ตคาร์บอน</t>
  </si>
  <si>
    <t>ทาร์ที่กลั่นจากถ่านหิน ลิกไนต์ หรือพีต และทาร์อื่นๆ ที่ได้จากแร่ จะแยกเอาน้ำออกหรือกลั่นเพียงบางส่วนหรือไม่ก็ตาม รวมถึงรีคอนสติ-ติวเตดทาร์</t>
  </si>
  <si>
    <t>พิตช์และพิตช์โค้ก ที่ได้จากทาร์ที่กลั่นจากถ่านหินหรือจากทาร์อื่นๆ ที่ได้จากแร่</t>
  </si>
  <si>
    <t>บริการรับจ้างเหมาที่เป็นส่วนหนึ่งของการผลิตถ่านโค้ก</t>
  </si>
  <si>
    <t>ผลิตภัณฑ์ที่ได้จากการกลั่นปิโตรเลียม</t>
  </si>
  <si>
    <t>ผลิตภัณฑ์ที่ได้จากโรงกลั่นปิโตรเลียม</t>
  </si>
  <si>
    <t>น้ำมันเชื้อเพลิงชนิดเบา ที่ได้จากโรงกลั่นปิโตรเลียม</t>
  </si>
  <si>
    <t>น้ำมันเบนซินสำหรับยานยนต์ (มอเตอร์สปิริต) รวมถึงน้ำมันเบนซินสำหรับเครื่องบิน (เอวิเอชั่นสปิริต)</t>
  </si>
  <si>
    <t>น้ำมันเบนซินสำหรับเครื่องบินเจ็ท</t>
  </si>
  <si>
    <t>น้ำมันปิโตรเลียมและสิ่งปรุงแต่งชนิดเบา ซึ่งมิได้จัดประเภทไว้ในที่อื่น</t>
  </si>
  <si>
    <t>น้ำมันเชื้อเพลิงชนิดกลาง ที่ได้จากโรงกลั่นปิโตรเลียม</t>
  </si>
  <si>
    <t>น้ำมันก๊าด (เคโรซีน)</t>
  </si>
  <si>
    <t>น้ำมันก๊าดสำหรับเครื่องบินเจ็ท</t>
  </si>
  <si>
    <t>น้ำมันดีเซลหมุนเร็วหรือน้ำมันโซล่า (gas oil)</t>
  </si>
  <si>
    <t>น้ำมันปิโตรเลียมและสิ่งปรุงแต่งชนิดกลาง ซึ่งมิได้จัดประเภทไว้ในที่อื่น</t>
  </si>
  <si>
    <t>น้ำมันเชื้อเพลิงชนิดหนัก ที่ได้จากโรงกลั่นปิโตรเลียม</t>
  </si>
  <si>
    <t>น้ำมันเชื้อเพลิง ซึ่งมิได้จัดประเภทไว้ในที่อื่น</t>
  </si>
  <si>
    <t>น้ำมันปิโตรเลียมหล่อลื่นและสิ่งปรุงแต่งหนัก ซึ่งมิได้จัดประเภทไว้ในที่อื่น ที่ได้จากโรงกลั่นปิโตรเลียม</t>
  </si>
  <si>
    <t xml:space="preserve">ก๊าซปิโตรเลียมและก๊าซไฮโดรคาร์บอนอื่นๆ </t>
  </si>
  <si>
    <t>โพรเพนและบิวเทนเหลว</t>
  </si>
  <si>
    <t>เอทิลีน โพรพิลีน บิวทิลีน บิวทาไดอีน และก๊าซปิโตรเลียมและก๊าซไฮโดรคาร์บอนอื่นๆ (ยกเว้นก๊าซธรรมชาติ)</t>
  </si>
  <si>
    <t>บริการรับจ้างเหมาที่เป็นส่วนหนึ่งของการผลิตผลิตภัณฑ์ที่ได้จากโรงกลั่นปิโตรเลียม</t>
  </si>
  <si>
    <t>เชื้อเพลิงชีวภาพ</t>
  </si>
  <si>
    <t>น้ำมันเบนซินสำหรับยานยนต์ ที่เป็นเชื้อเพลิงชีวภาพ</t>
  </si>
  <si>
    <t>น้ำมันดีเซลหมุนเร็วหรือน้ำมันโซล่า ที่เป็นเชื้อเพลิงชีวภาพ</t>
  </si>
  <si>
    <t xml:space="preserve">น้ำมันเชื้อเพลิงอื่นๆ ที่เป็นเชื้อเพลิงชีวภาพ </t>
  </si>
  <si>
    <t>บริการรับจ้างเหมาที่เป็นส่วนหนึ่งของการผลิตเชื้อเพลิงชีวภาพ</t>
  </si>
  <si>
    <t>ผลิตภัณฑ์อื่นๆ ที่ได้จากการกลั่นปิโตรเลียม</t>
  </si>
  <si>
    <t>เชื้อเพลิงแข็งที่อัดเป็นก้อนรูปเหลี่ยม รูปไข่ และที่คล้ายกัน</t>
  </si>
  <si>
    <t>ผงถ่านหินอัดเป็นก้อนรูปเหลี่ยม รูปไข่ และเชื้อเพลิงแข็งที่คล้ายกัน ซึ่งผลิตจากถ่านหิน</t>
  </si>
  <si>
    <t>ลิกไนต์ที่ทำให้เกาะหรือติดรวมกัน</t>
  </si>
  <si>
    <t>พีตที่ทำให้เกาะหรือติดรวมกัน</t>
  </si>
  <si>
    <t>ผลิตภัณฑ์ปิโตรเลียมอื่นๆ ที่ได้จากการกลั่นปิโตรเลียม</t>
  </si>
  <si>
    <t>ปิโตรเลียมเยลลี รวมถึงไขพาราฟิน ไขไมโครคริสแตลไลน์ปิโตรเลียม ไขแสล็ก โอโซเคไรต์ ไขลิกไนต์ ไขพีต ไขแร่อื่นๆ และผลิตภัณฑ์ที่คล้ายกัน ซึ่งได้จากการสังเคราะห์หรือโดยกรรมวิธีอื่น จะแต่งสีหรือไม่ก็ตาม</t>
  </si>
  <si>
    <t>ปิโตรเลียมโค้ก ปิโตรเลียมบิทูเมน และกากอื่นๆ ที่ได้จากน้ำมันปิโตรเลียมหรือจากน้ำมันที่ได้จากแร่บิทูมินัส</t>
  </si>
  <si>
    <t>น้ำมันหล่อลื่นหรือจาระบี ซึ่งได้จากเศษน้ำมัน</t>
  </si>
  <si>
    <t>บริการรับจ้างเหมาที่เป็นส่วนหนึ่งของการผลิตผลิตภัณฑ์อื่นๆ ที่ได้จากการกลั่นปิโตรเลียม</t>
  </si>
  <si>
    <t>เคมีภัณฑ์และผลิตภัณฑ์เคมี</t>
  </si>
  <si>
    <t>เคมีภัณฑ์ขั้นมูลฐาน ปุ๋ยเคมีและสารประกอบไนโตรเจน พลาสติกและยางสังเคราะห์ขั้นต้น</t>
  </si>
  <si>
    <t>เคมีภัณฑ์ขั้นมูลฐาน</t>
  </si>
  <si>
    <t>ก๊าซชนิดใช้ในงานอุตสาหกรรม</t>
  </si>
  <si>
    <t>ไฮโดรเจน อาร์กอน แรร์ก๊าซ ไนโตรเจน และออกซิเจน</t>
  </si>
  <si>
    <t>คาร์บอนไดออกไซด์และสารประกอบออกซิเจนอนินทรีย์อื่นๆ ของอโลหะ (ยกเว้นซิลิคอนไดออกไซด์)</t>
  </si>
  <si>
    <t>อากาศเหลวและอากาศอัด</t>
  </si>
  <si>
    <t>บริการรับจ้างเหมาที่เป็นส่วนหนึ่งของการผลิตก๊าซชนิดใช้ในงานอุตสาหกรรม</t>
  </si>
  <si>
    <t>สีย้อมและสีผง</t>
  </si>
  <si>
    <t>ออกไซด์ เพอร์ออกไซด์ และไฮดรอกไซด์</t>
  </si>
  <si>
    <t>สังกะสีออกไซด์ สังกะสีเพอร์ออกไซด์ และไททาเนียมออกไซด์</t>
  </si>
  <si>
    <t>โครเมียม แมงกานีส ตะกั่ว และทองแดงออกไซด์และไฮดรอกไซด์</t>
  </si>
  <si>
    <t>ออกไซด์ เพอร์ออกไซด์ และไฮดรอกไซด์ของโลหะอื่นๆ</t>
  </si>
  <si>
    <t>สิ่งสกัดที่ใช้ในการฟอกหรือย้อม แทนนินและอนุพันธ์ของแทนนิน รวมถึงวัตถุแต่งสี ซึ่งมิได้จัดประเภทไว้ในที่อื่น</t>
  </si>
  <si>
    <t>วัตถุแต่งสีที่เป็นอินทรีย์สังเคราะห์ สิ่งปรุงแต่งที่มีวัตถุแต่งสีอินทรีย์สังเคราะห์เป็นหลัก ผลิตภัณฑ์อินทรีย์สังเคราะห์ชนิดที่ใช้เป็นตัวให้ความขาวสว่างชนิดฟลูออเรสเซนต์หรือใช้เป็นลูมิโนฟอร์ รวมถึง คัลเลอร์เลกและสิ่งปรุงแต่งที่มีคัลเลอร์แลกเป็นหลัก</t>
  </si>
  <si>
    <t>สิ่งสกัดที่ใช้ฟอกหนังซึ่งได้จากพืช แทนนิน เกลือ อีเทอร์ เอสเทอร์ และอนุพันธ์อื่นๆ ของแทนนิน รวมถึงวัตถุแต่งสีที่ได้จากพืชหรือสัตว์</t>
  </si>
  <si>
    <t>สารอินทรีย์สังเคราะห์ที่ใช้ฟอกหนัง สารอนินทรีย์ที่ใช้ฟอกหนัง สิ่งปรุงแต่งที่ใช้ฟอกหนังจะมีสารธรรมชาติที่ใช้ฟอกหนังอยู่ด้วยหรือไม่ก็ตาม รวมถึงสิ่งปรุงแต่งจำพวกเอนไซม์สำหรับใช้แช่หรือหมักหนังก่อนฟอก</t>
  </si>
  <si>
    <t>วัตถุแต่งสี ซึ่งมิได้จัดประเภทไว้ในที่อื่น รวมถึงผลิตภัณฑ์อนินทรีย์ชนิดใช้เป็นลูมิโนฟอร์</t>
  </si>
  <si>
    <t>บริการรับจ้างเหมาที่เป็นส่วนหนึ่งของการผลิตสีย้อมและสีผง</t>
  </si>
  <si>
    <t>เคมีภัณฑ์อนินทรีย์อื่นๆ ขั้นมูลฐาน</t>
  </si>
  <si>
    <t>ยูเรเนียมและพลูโตเนียมเข้มข้น ยูเรเนียมและทอเรียมดิสเพอร์ชั่น รวมถึงธาตุกัมมันตรังสีอื่นๆ</t>
  </si>
  <si>
    <t>ยูเรเนียมที่ทำให้ U235 เข้มขึ้นและสารประกอบของยูเรเนียมดังกล่าว พลูโตเนียมและสารประกอบของพลูโตเนียม รวมถึงโลหะเจือ ดิสเพอร์ชัน เซอร์เมต ผลิตภัณฑ์เซรามิก และของผสม ซึ่งมียูเรเนียม ที่ทำให้ U235 เข้มขึ้น พลูโตเนียม หรือสารประกอบของผลิตภัณฑ์เหล่านี้</t>
  </si>
  <si>
    <t>ยูเรเนียมที่ทำให้ U235 จางลงและสารประกอบของยูเรเนียมดังกล่าว ทอเรียมและสารประกอบของทอเรียม รวมถึงโลหะเจือ ดิสเพอร์ชัน เซอร์เมต ผลิตภัณฑ์เซรามิก และของผสม ซึ่งมียูเรเนียมที่ทำให้ U235 จางลง ทอเรียม หรือสารประกอบของผลิตภัณฑ์เหล่านี้</t>
  </si>
  <si>
    <t>ธาตุกัมมันตรังสี ไอโซโทปกัมมันตรังสี และสารประกอบกัมมันตรังสีอื่นๆ รวมถึงโลหะเจือ ดิสเพอร์ชัน เซอร์เมต ผลิตภัณฑ์เซรามิก และของผสม ที่มีธาตุไอโซโทปหรือสารประกอบเหล่านี้ รวมถึงกากกัมมันตรังสี</t>
  </si>
  <si>
    <t>แท่งเชื้อเพลิง (คาร์ทริดจ์) ที่ยังไม่ได้ใช้ สำหรับเครื่องปฎิกรณ์นิวเคลียร์</t>
  </si>
  <si>
    <t>ธาตุทางเคมี ซึ่งมิได้จัดประเภทไว้ในที่อื่น รวมถึงกรดอนินทรีย์และสารประกอบของกรดดังกล่าว</t>
  </si>
  <si>
    <t>ธาตุกึ่งโลหะ</t>
  </si>
  <si>
    <t>สารประกอบฮาโลเจนหรือสารประกอบกำมะถันของอโลหะ</t>
  </si>
  <si>
    <t>โลหะแอลคาไลน์หรือโลหะแอลคาไลน์เอิร์ท ปรอท รวมถึงโลหะแรร์-เอิร์ท สแคนเดียม และอิตเทรียม จะผสมระหว่างกันหรือระหว่างโลหะเจือของโลหะดังกล่าวหรือไม่ก็ตาม</t>
  </si>
  <si>
    <t>ไฮโดรเจนคลอไรด์ โอเลี่ยม ไดฟอสฟอรัสเพนตะออกไซด์ กรดอนินทรีย์อื่นๆ รวมถึงซิลิคอนไดออกไซด์และซัลเฟอร์ไดออกไซด์</t>
  </si>
  <si>
    <t>ออกไซด์ ไฮดรอกไซด์ และเพอร์ออกไซด์ รวมถึงไฮดราซีนและไฮดรอกซิลามีน และเกลืออนินทรีย์ของของดังกล่าว</t>
  </si>
  <si>
    <t>เมทัลลิกฮาโลเจเนต รวมถึงไฮโพคลอไรด์ คลอเรต และเพอร์คลอเรต</t>
  </si>
  <si>
    <t>เมทัลลิกฮาโลเจเนต</t>
  </si>
  <si>
    <t>ไฮโพคลอไรด์ คลอเรต และเพอร์คลอเรต</t>
  </si>
  <si>
    <t>ซัลไฟด์ ซัลเฟต รวมถึงไนเตรต ฟอสเฟต และคาร์บอเนต</t>
  </si>
  <si>
    <t>ซัลไฟด์ ซัลไฟต์ และซัลเฟต</t>
  </si>
  <si>
    <t>ฟอสฟิเนต ฟอสโฟเนต ฟอสเฟต โพลิฟอสเฟต และไนเตรต (ยกเว้นของโพแทสเซียม)</t>
  </si>
  <si>
    <t>คาร์บอเนต เพอร์ออกโซคาร์บอเนต (เพอร์คาร์บอเนต) รวมถึงแอมโมเนียมคาร์บอเนตชนิดที่ใช้ในทางการค้า ซึ่งมีแอมโมเนียมคาร์บาเมต</t>
  </si>
  <si>
    <t>เกลือของโลหะอื่นๆ</t>
  </si>
  <si>
    <t>เกลือของกรดออกโซเมทัลลิกหรือกรดเพอร์ออกโซเมทัลลิก รวมถึงโลหะมีค่าชนิดคอลลอยด์</t>
  </si>
  <si>
    <t>น้ำกลั่น  อะมัลกัม (ยกเว้นอะมัลกัมของโลหะมีค่า) และสารประกอบอนินทรีย์ ซึ่งมิได้จัดประเภทไว้ในที่อื่น</t>
  </si>
  <si>
    <t>เคมีอนินทรีย์พื้นฐานอื่นๆ ซึ่งมิได้จัดประเภทไว้ในที่อื่น</t>
  </si>
  <si>
    <t>ไอโซโทป ซึ่งมิได้จัดประเภทไว้ในที่อื่น และสารประกอบของไอโซโทปดังกล่าว (รวมถึงเฮฟวีวอเตอร์ (ดิวเทอเรียมออกไซด์))</t>
  </si>
  <si>
    <t>ไซยาไนด์ ไซยาไนด์ออกไซด์ และไซยาไนด์เชิงซ้อน ฟูลมิเนต ไซยาเนต และไทโอไซยาเนต ซิลิเกต บอเรต เพอร์บอเรต  รวมถึงเกลืออื่นๆ ของกรดอนินทรีย์และของเพอร์ออกโซแอซิดอนินทรีย์</t>
  </si>
  <si>
    <t>ไฮโตรเจนเพอร์ออกไซด์</t>
  </si>
  <si>
    <t>ฟอสไฟด์ คาร์ไบด์ ไฮไดรด์ ไนไตรด์ อะไซด์ ซิลิไซด์ และโบไรด์</t>
  </si>
  <si>
    <t>สารประกอบของโลหะแรร์เอิร์ท ของอิตเทเรียม ของสแกนเดียม หรือของของผสมของโลหะเหล่านี้</t>
  </si>
  <si>
    <t>กำมะถัน/ซัลเฟอร์ทุกชนิด (ยกเว้นชนิดระเหิด ชนิดตกตะกอน และชนิดคอลลอยด์)</t>
  </si>
  <si>
    <t>แร่เหล็กไพไรต์ที่ย่างแล้ว</t>
  </si>
  <si>
    <t>พีเอโซอิเล็กทริกควอร์ตซ์ รวมถึงรัตนชาติหรือกึ่งรัตนชาติที่ได้จาก การสังเคราะห์หรือทำขึ้นใหม่ ที่ไม่ได้ตกแต่ง</t>
  </si>
  <si>
    <t>บริการรับจ้างเหมาที่เป็นส่วนหนึ่งของการผลิตผลิตภัณฑ์อนินทรีย์อื่นๆ ขั้นมูลฐาน</t>
  </si>
  <si>
    <t>เอทานอลและเอสเทอร์</t>
  </si>
  <si>
    <t>เอทิลแอลกอฮอล์ที่ไม่ได้แปลงสภาพ มีความแรงแอลกอฮอล์โดยปริมาตรตั้งแต่ร้อยละ 80 ขึ้นไป</t>
  </si>
  <si>
    <t>เอทิลแอลกอฮอล์ที่แปลงสภาพแล้ว รวมถึงเมทิเลเต็ดสปิริต</t>
  </si>
  <si>
    <t>บริการรับจ้างเหมาที่เป็นส่วนหนึ่งของการผลิตเอทานอลและเอสเทอร์</t>
  </si>
  <si>
    <t>เคมีภัณฑ์อินทรีย์อื่นๆ ขั้นมูลฐาน</t>
  </si>
  <si>
    <t>ไฮโดรคาร์บอนและอนุพันธ์ของไฮโดรคาร์บอน</t>
  </si>
  <si>
    <t>อะโซคลิกไฮโดรคาร์บอน</t>
  </si>
  <si>
    <t>ไซคลิกไฮโดรคาร์บอน</t>
  </si>
  <si>
    <t>อนุพันธ์ชนิดคลอริเนเต็ดของอะไซคลิกไฮโดรคาร์บอน</t>
  </si>
  <si>
    <t>อนุพันธ์ชนิดซัลโฟเนเต็ด ไนเตรเต็ด หรือไนโตรเซเต็ด ของไฮโดรคาร์บอน จะเป็นชนิดฮาโลเจเนเต็ดด้วยหรือไม่ก็ตาม</t>
  </si>
  <si>
    <t>อนุพันธ์อื่นๆ ของไฮโดรคาร์บอน</t>
  </si>
  <si>
    <t>แอลกอฮอล์ ฟีนอล ฟีนอล-แอลกอฮอล์ และอนุพันธ์ชนิดฮาโลเจเนเต็ด ซัลโฟเนเต็ด ไนเตรเต็ด หรือไนโตรเซเต็ด รวมถึงแฟตตี้แอลกอฮอล์ที่ใช้ในทางอุตสาหกรรม</t>
  </si>
  <si>
    <t>แฟตตี้แอลกอฮอล์ที่ใช้ทางอุตสาหกรรม</t>
  </si>
  <si>
    <t>โมโนไฮดริกแอลกอฮอล์</t>
  </si>
  <si>
    <t>ไดออล โพลิแอลกอฮอล์ ไซลิคอลแอลกอฮอล์ และอนุพันธ์ของสารดังกล่าว</t>
  </si>
  <si>
    <t>ฟีนอล ฟีนอล-แอลกอฮอล์ และอนุพันธ์ของฟีนอล</t>
  </si>
  <si>
    <t>โมโนคาร์บอกซิลิกแฟฟตี้แอซิดที่ใช้ในทางอุตสาหกรรม รวมถึงคาร์บอก-ซิลิกแอซิดและอนุพันธ์ของของดังกล่าว</t>
  </si>
  <si>
    <t>โมโนคาร์บอกซิลิกแฟฟตี้แอซิดที่ใช้ในทางอุตสาหกรรม แอซิดออยล์ ที่ได้จากการกลั่นน้ำมัน เช่น สเตียริกแอซิด โอเลอิกแอซิด ทอลออยล์แฟตตี้แอดซิด เป็นต้น</t>
  </si>
  <si>
    <t>กรดอะไซคลิกโมโนคาร์บอกซิลิกชนิดอิ่มตัว และแอนไฮไดรด์ ฮาไลด์ เพอร์ออกไซด์ และเพอร์ออกซิแอซิด ของกรดอะไซคลิกโมโนคาร์บอก-ซิลิก ชนิดอิ่มตัว รวมถึงอนุพันธ์ชนิดฮาโลเจเนเต็ด ซัลโฟเนเต็ด ไนเตรเต็ด หรือชนิดไนโตรเซเต็ดของของดังกล่าว</t>
  </si>
  <si>
    <t>กรดโมโนคาร์บอกซิลิกชนิดไม่อิ่มตัว และกรดไซเคลนิก กรดไซคลีนิก หรือกรดไซโคลเทอร์พินิกอะไซคลิกโพลิคาร์บอกซิลิก และอนุพันธ์ของของดังกล่าว</t>
  </si>
  <si>
    <t>กรดอะโรมาติกโพลิคาร์บอกซิลิกและกรดคาร์บอกซิลิกที่มีออกซิเจนฟังก์ชั่นอยู่ด้วย และอนุพันธ์ของของดังกล่าว (ยกเว้นกรดซาลิไซลิกและเกลือของซาลิไซลิก)</t>
  </si>
  <si>
    <t>สารประกอบอินทรีย์ที่มีไนโตรเจน-ฟังก์ชัน</t>
  </si>
  <si>
    <t>สารประกอบอะมีน-ฟังก์ชัน</t>
  </si>
  <si>
    <t>สารประกอบอะมิโนที่มีออกซิเจนฟังก์ชัน (ยกเว้น ไลซีนและเอสเทอร์ของไลซีน กรดกลูทามิก และเกลือของของดังกล่าว)</t>
  </si>
  <si>
    <t>ยูเรอีน สารประกอบคาร์บอกซิไมด์-ฟังก์ชัน สารประกอบไนไทรล์ฟังก์ชัน และอนุพันธ์ของของดังกล่าว</t>
  </si>
  <si>
    <t>สารประกอบที่มีไนโตรเจน-ฟังก์ชันอื่นๆ</t>
  </si>
  <si>
    <t>สารประกอบออร์แกโน-ซัลเฟอร์ สารประกอบออร์แกโน-อินออร์แกนิกอื่นๆ รวมถึงสารประกอบเฮตเทอโรไซคลิก ซึ่งมิได้จัดประเภทไว้ในที่อื่น</t>
  </si>
  <si>
    <t>สารประกอบออร์แกโน-ซัลเฟอร์ และสารประกอบออร์แกโน-อินออร์-แกนิกอื่นๆ</t>
  </si>
  <si>
    <t>สารประกอบเฮตเทอโรไซคลิก ซึ่งมิได้จัดประเภทไว้ในที่อื่น รวมถึงกรดนิวคลิอิกและเกลือของกรอนิวคลิอิก</t>
  </si>
  <si>
    <t>ฟอสฟอริกเอสเทอร์และเอสเทอร์ของกรดอนินทรีย์อื่นๆ (ยกเว้นเอสเทอร์ของไฮโดรเจนฮาไลด์) และเกลือของของดังกล่าว และอนุพันธ์ชนิดฮาโลเจเนเต็ด ซัลโฟเนเต็ด ไนเตรเต็ด หรือชนิดไนโตรเซเต็ดของของดังกล่าว</t>
  </si>
  <si>
    <t>อีเทอร์ ออร์แกนนิกเพอร์ออกไซด์ อีพอกไซด์ อะซีทัล และเฮมิอะซีทัล รวมถึงสารประกอบอินทรีย์อื่นๆ</t>
  </si>
  <si>
    <t>สารประกอบแอลดีไฮด์-ฟังก์ชัน</t>
  </si>
  <si>
    <t>สารประกอบคีโทน-ฟังก์ชันและควิโนน-ฟังก์ชัน: คีโทนและควิโนน จะมีออกซิเจนฟังก์ชันอื่นด้วยหรือไม่ก็ตาม และอนุพันธ์ชนิดฮาโลเจเนเต็ด ซัลโฟเนเต็ด ไนเตรเต็ด หรือชนิดไนโตรเซเต็ดของของดังกล่าว</t>
  </si>
  <si>
    <t>อีเทอร์ ออร์แกนนิกเพอร์ออกไซด์ อีพอกไซด์ อะซีทัส และเฮมิอะซีทัล รวมถึงอนุพันธ์ของของดังกล่าว</t>
  </si>
  <si>
    <t>เอนไซม์และสารประกอบอินทรีย์อื่นๆ ซึ่งมิได้จัดประเภทไว้ในที่อื่น</t>
  </si>
  <si>
    <t>เคมีผลิตภัณฑ์อินทรีย์ขั้นมูลฐานอื่นๆ ซึ่งมิได้จัดประเภทไว้ในที่อื่น</t>
  </si>
  <si>
    <t>อนุพันธ์ของผลิตภัณฑ์จากพืชผักหรือเรซิน</t>
  </si>
  <si>
    <t>ถ่านไม้ รวมถึงถ่านอัดแท่งจากวัสดุชีวมวล</t>
  </si>
  <si>
    <t>น้ำมันและผลิตภัณฑ์อื่นๆ ที่ได้จากการกลั่นทาร์ชนิดที่กลั่นจากถ่านหินที่อุณหภูมิสูง และผลิตภัณฑ์ที่คล้ายกันซึ่งมีน้ำหนักของส่วนที่เป็น อะโรมาติกมากกว่าส่วนที่ไม่เป็นอะโรมาติก</t>
  </si>
  <si>
    <t>ด่างที่เหลือจากการผลิตเยื่อไม้ จะทำให้เข้มข้น แยกเอาน้ำตาลออกหรือจะผ่านกรรมวิธีทางเคมีหรือไม่ก็ตาม รวมถึงลิกนินซัลโฟเนต (ยกเว้นทอลล์ออยล์)</t>
  </si>
  <si>
    <t>บริการรับจ้างเหมาที่เป็นส่วนหนึ่งของการผลิตเคมีภัณฑ์อินทรีย์อื่นๆ ขั้นมูลฐาน</t>
  </si>
  <si>
    <t>ปุ๋ยเคมีและสารประกอบไนโตรเจน</t>
  </si>
  <si>
    <t>ปุ๋ยเคมี</t>
  </si>
  <si>
    <t>ปุ๋ยที่ได้จากแร่หรือปุ๋ยเคมีที่มีธาตุไนโตรเจน</t>
  </si>
  <si>
    <t>ยูเรีย จะเป็นสารละลายในน้ำหรือไม่ก็ตาม</t>
  </si>
  <si>
    <t>แอมโมเนียมซัลเฟต</t>
  </si>
  <si>
    <t>แอมโมเนียมไนเตรต จะเป็นสารละลายในน้ำหรือไม่ก็ตาม</t>
  </si>
  <si>
    <t>เกลือสองเชิงและของผสมของแคลเซียมไนเตรตกับแอมโมเนียมไนเตรต</t>
  </si>
  <si>
    <t>ของผสมของแอมโมเนียมไนเตรตกับแคลเซียมคาร์บอเนตหรือกับสารอนินทรีย์อื่นที่ไม่ใช่ปุ๋ย</t>
  </si>
  <si>
    <t>ปุ๋ยเคมีอื่นๆ ที่มีธาตุไนโตรเจน เกลือสองเชิงและของผสมของแอมโมเนียมซัลเฟตกับแอมโมเนียมไนเตรต ของผสมของยูเรียกับแอมโมเนียมไนเตรตที่เป็นสารละลายในน้ำหรือในสารละลายที่มีแอมโมเนีย และของผสมอื่นๆ ที่มีธาตุไนโตรเจน</t>
  </si>
  <si>
    <t>ปุ๋ยที่ได้จากแร่หรือปุ๋ยเคมีที่มีธาตุฟอสฟอรัส</t>
  </si>
  <si>
    <t>ซุปเปอร์ฟอสเฟต</t>
  </si>
  <si>
    <t>ปุ๋ยเคมีอื่นๆ ที่มีธาตุฟอสฟอรัส เช่น ปุ๋ยที่มีธาตุฟอสฟอรัสที่ผ่านการเผาโดยวิธีคาลซีเนชัน เป็นต้น</t>
  </si>
  <si>
    <t>ปุ๋ยที่ได้จากแร่หรือปุ๋ยเคมีที่มีธาตุโพแทสเซียม</t>
  </si>
  <si>
    <t>โพแทสเซียมคลอไรด์ (มิวริเอทออฟโพแทส)</t>
  </si>
  <si>
    <t>โพแทสเซียมซัลเฟต (ซัลเฟตออฟโพแทส)</t>
  </si>
  <si>
    <t>ปุ๋ยเคมีอื่นๆ ที่มีธาตุโพแทสเซียม</t>
  </si>
  <si>
    <t>ปุ๋ยเคมีอื่นๆ ซึ่งมิได้จัดประเภทไว้ในที่อื่น</t>
  </si>
  <si>
    <t>ปุ๋ยที่ได้จากแร่หรือปุ๋ยเคมีที่มีธาตุสามชนิด คือ ไนโตรเจน ฟอสฟอรัส และโพแทสเซียม</t>
  </si>
  <si>
    <t>ไดแอมโมเนียมไฮโตรเจนออร์โทฟอสเฟต</t>
  </si>
  <si>
    <t>โมโนแอมโมเนียมฟอสเฟต (แอมโมเนียมไดไฮโดรเจนออร์โทฟอสเฟต) และของผสมของของดังกล่าวกับไดแอมโมเนียมไฮโดรเจนออร์โท-ฟอสเฟต (ไดแอมโมเนียมฟอสเฟต)</t>
  </si>
  <si>
    <t>ปุ๋ยที่ได้จากแร่หรือปุ๋ยเคมีที่มีธาตุไนโตรเจนและฟอสฟอรัส</t>
  </si>
  <si>
    <t>ปุ๋ยที่ได้จากแร่หรือปุ๋ยเคมีที่มีฟอสฟอรัสและโพแทสเซียม</t>
  </si>
  <si>
    <t>ปุ๋ยที่ได้จากแร่หรือปุ๋ยเคมีที่ประกอบด้วยธาตุอย่างน้อย 2 ชนิด (ไนโตรเจน ฟอสฟอรัส หรือโพแทสเซียม) ซึ่งมิได้จัดประเภทไว้ในที่อื่น</t>
  </si>
  <si>
    <t>ดินกระถาง</t>
  </si>
  <si>
    <t>บริการรับจ้างเหมาที่เป็นส่วนหนึ่งของการผลิตปุ๋ยเคมี</t>
  </si>
  <si>
    <t>สารประกอบไนโตรเจน</t>
  </si>
  <si>
    <t>กรดไนตริก กรดซัลโฟไนตริก รวมถึงแอมโมเนีย</t>
  </si>
  <si>
    <t>แอมโมเนียมคลอไรด์  รวมถึงไนไตรต์</t>
  </si>
  <si>
    <t>แอมโมเนียมคลอไรด์ รวมถึงไนไตรต์</t>
  </si>
  <si>
    <t>สารประกอบไนโตรเจนอื่นๆ</t>
  </si>
  <si>
    <t>บริการรับจ้างเหมาที่เป็นส่วนหนึ่งของการผลิตสารประกอบไนโตรเจน</t>
  </si>
  <si>
    <t>พลาสติกและยางสังเคราะห์ขั้นต้น</t>
  </si>
  <si>
    <t>เม็ดพลาสติกและพลาสติกขั้นต้น</t>
  </si>
  <si>
    <t>โพลิเมอร์ของเอทิลีน ในลักษณะขั้นปฐม</t>
  </si>
  <si>
    <t>โพลิเมอร์ของสไตรีน ในลักษณะขั้นปฐม</t>
  </si>
  <si>
    <t>โพลิเมอร์ของไวนิลคลอไรด์หรือของฮาโลเจเนเต็ดโอลีฟินอื่นๆ ในลักษณะขั้นปฐม</t>
  </si>
  <si>
    <t>โพลิอะซีทัล โพลิอีเทอร์อื่นๆ และอีพอกไซด์เรซิน ในลักษณะขั้นปฐม  รวมถึงโพลิคาร์บอเนต แอลคิดเรซิน โพลิแอลลิลเอสเทอร์ และโพลิเอสเทอร์อื่นๆ ในลักษณะขั้นปฐม</t>
  </si>
  <si>
    <t>โพลิอะซีทัล โพลิอีเทอร์อื่นๆ และอีพอกไซด์เรซิน ในลักษณะขั้นปฐม รวมถึงโพลิคาร์บอเนต แอลคิดเรซิน โพลิแอลลิลเอสเทอร์ และ โพลิเอสเทอร์อื่นๆ ในลักษณะขั้นปฐม</t>
  </si>
  <si>
    <t>เม็ดพลาสติกและพลาสติกอื่นๆ ขั้นต้น รวมถึงไออนเอ็กซ์เชนเจอร์</t>
  </si>
  <si>
    <t>โพลิเมอร์ของโพรพิลีนหรือของโอลีฟินอื่นๆ ในลักษณะขั้นปฐม</t>
  </si>
  <si>
    <t>โพลิเมอร์ของไวนิลอะซีเทตหรือของไวนิลเอสเทอร์อื่นๆ ในลักษณะขั้นปฐม รวมถึงไวนิลโพลิเมอร์อื่นๆ ในลักษณะขั้นปฐม</t>
  </si>
  <si>
    <t>อะคริลิกโพลิเมอร์ ในลักษณะขั้นปฐม</t>
  </si>
  <si>
    <t>โพลิอะไมด์ ในลักษณะขั้นปฐม</t>
  </si>
  <si>
    <t>ยูเรียเรซิน ไทโอยูเรียเรซิน และเมลามีนเรซิน ในลักษณะขั้นปฐม</t>
  </si>
  <si>
    <t>อะมิโนเรซินอื่นๆ ฟีโนลิกเรซิน และโพลิยูรีเทน ในลักษณะขั้นปฐม</t>
  </si>
  <si>
    <t>ซิลิโคน ในลักษณะขั้นปฐม</t>
  </si>
  <si>
    <t>เม็ดพลาสติกและพลาสติกอื่นๆ ขั้นต้น ซึ่งมิได้จัดประเภทไว้ในที่อื่น รวมถึงไอออนเอกซ์เซนเจอร์</t>
  </si>
  <si>
    <t>บริการรับจ้างเหมาที่เป็นส่วนหนึ่งของการผลิตเม็ดพลาสติกและพลาสติกในขั้นต้น</t>
  </si>
  <si>
    <t>ยางสังเคราะห์ขั้นต้น</t>
  </si>
  <si>
    <t>ยางสังเคราะห์และแฟกติชที่ได้จากน้ำมัน ในลักษณะขั้นปฐม หรือเป็นแผ่น แผ่นบาง หรือเป็นแถบ รวมถึงของผสมที่ได้จากยางธรรมชาติ บาลาตา กัตตาเปอร์ชา กวายูล ซิเคิล และกัมธรรมชาติที่คล้ายกัน ในลักษณะขั้นปฐม ผสมกับผลิตภัณฑ์จากยางสังเคราะห์และแฟกติชที่ได้จากน้ำมัน ในลักษณะขั้นปฐม หรือเป็นแผ่น แผ่นบาง หรือเป็นแถบ</t>
  </si>
  <si>
    <t>บริการรับจ้างเหมาที่เป็นส่วนหนึ่งของการผลิตยางสังเคราะห์ขั้นต้น</t>
  </si>
  <si>
    <t>ผลิตภัณฑ์เคมีอื่นๆ</t>
  </si>
  <si>
    <t>ยาปราบศัตรูพืชและผลิตภัณฑ์เคมีอื่นๆ ทางการเกษตร</t>
  </si>
  <si>
    <t>สารฆ่าแมลง (ยกเว้นชนิดที่มีอันตราย)</t>
  </si>
  <si>
    <t>สารฆ่าวัชพืช (ยกเว้นชนิดที่มีอันตราย)</t>
  </si>
  <si>
    <t>ผลิตภัณฑ์ที่ใช้ป้องกันการงอกของพืชและผลิตภัณฑ์ที่ใช้ควบคุมการเจริญเติบโตของพืช (ยกเว้นชนิดที่มีอันตราย)</t>
  </si>
  <si>
    <t>สารทำลายเชื้อ (ยกเว้นชนิดที่มีอันตราย)</t>
  </si>
  <si>
    <t>สารฆ่ารา (ยกเว้นชนิดที่มีอันตราย)</t>
  </si>
  <si>
    <t>ยาปราบศัตรูพืชและผลิตภัณฑ์เคมีอื่นๆ ทางการเกษตร ซึ่งมิได้จัดประเภทไว้ในที่อื่น</t>
  </si>
  <si>
    <t>บริการรับจ้างเหมาที่เป็นส่วนหนึ่งของการผลิตยาปราบศัตรูพืชและผลิตภัณฑ์เคมีอื่นๆ ทางการเกษตร</t>
  </si>
  <si>
    <t>สี น้ำมันชักเงา และสารเคลือบที่คล้ายกัน หมึกพิมพ์ และน้ำมันทาไม้</t>
  </si>
  <si>
    <t>สี น้ำมันชักเงา และสารเคลือบที่คล้ายกัน  และน้ำมันทาไม้</t>
  </si>
  <si>
    <t>สีและน้ำมันชักเงา ที่มีโพลิเมอร์เป็นหลัก</t>
  </si>
  <si>
    <t>สีและน้ำมันชักเงา (รวมถึงเอนาเมลและแลกเกอร์) ที่มีอะคริลิกโพลิเมอร์หรือไวนิลโพลิเมอร์เป็นหลัก ซึ่งละลายอยู่ในตัวกลางที่เป็นน้ำ</t>
  </si>
  <si>
    <t>สีและน้ำมันชักเงา (รวมถึงเอนาเมลและแลกเกอร์) ที่มีโพลิเอสเทอร์โพลิเมอร์ อะคริลิกโพลิเมอร์ และไวนิลโพลิเมอร์ ซึ่งละลายอยู่ในตัวกลางที่ไม่ใช่น้ำ</t>
  </si>
  <si>
    <t>สี น้ำมันชักเงา และสารเคลือบที่คล้ายกันอื่นๆ รวมถึงสีสำหรับจิตรกร</t>
  </si>
  <si>
    <t>สารสีปรุงแต่ง สิ่งปรุงแต่งที่ใช้ทำให้ทึบแสง สีปรุงแต่ง เอนาเมลและเกลซ เอนโกป น้ำยาชักเงา และสิ่งปรุงแต่งที่คล้ายกัน ชนิดที่ใช้ในอุตสาหกรรมเซรามิก อุตสาหกรรมเครื่องเคลือบ หรืออุตสาหกรรมแก้ว รวมถึงกลาสฟริตและแก้วอื่นๆ ในลักษณะเป็นผง เม็ด หรือเกล็ด</t>
  </si>
  <si>
    <t>สีและน้ำมันชักเงาอื่นๆ รวมถึงสารสีปรุงแต่ง</t>
  </si>
  <si>
    <t>สีสำหรับจิตรกร นักเรียน หรือช่างเขียนป้าย  สีแต้ม สีที่ใช้ระบาย และสิ่งที่คล้ายกัน ที่เป็นเม็ด บรรจุหลอด กระปุก ขวด กล่องแบน หรือในลักษณะหรือบรรจุภาชนะที่คล้ายกัน</t>
  </si>
  <si>
    <t>บริการรับจ้างเหมาที่เป็นส่วนหนึ่งของการผลิตสี น้ำมันชักเงา และ สารเคลือบที่คล้ายกัน และน้ำมันทาไม้</t>
  </si>
  <si>
    <t>บริการรับจ้างเหมาที่เป็นส่วนหนึ่งของการผลิตสี น้ำมันชักเงา และสารเคลือบที่คล้ายกัน และน้ำมันทาไม้</t>
  </si>
  <si>
    <t>หมึกพิมพ์</t>
  </si>
  <si>
    <t>บริการรับจ้างเหมาที่เป็นส่วนหนึ่งของการผลิตหมึกพิมพ์</t>
  </si>
  <si>
    <t>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</si>
  <si>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สบู่และสารซักฟอก  ผลิตภัณฑ์เคมีที่ใช้ในการทำความสะอาดและขัดเงา</t>
  </si>
  <si>
    <t>กลีเซอรอลดิบ รวมถึงน้ำกลีเซอรอลและด่างกลีเซอรอล</t>
  </si>
  <si>
    <t>สารอินทรีย์ที่เป็นตัวลดแรงตึงผิว (ยกเว้นสบู่) ชนิดแอนไอออนิก แคตไอออนิก น็อน-ไอออนิก และอื่นๆ</t>
  </si>
  <si>
    <t>สบู่ สิ่งปรุงแต่งที่ใช้ในการซักล้างและทำความสะอาด</t>
  </si>
  <si>
    <t>สบู่ ผลิตภัณฑ์อินทรีย์และสารปรุงแต่งอินทรีย์ที่มีคุณสมบัติลดแรงตึงผิวสำหรับใช้เป็นสบู่ ซึ่งมีลักษณะเป็นแท่ง เป็นก้อน หล่อหรืออัดเป็นชิ้นหรือเป็นรูปทรง เป็นของเหลวหรือครีม  รวมถึงกระดาษ แวดดิ้ง สักหลาด และผ้าไม่ทอที่อาบซึม เคลือบ หรือหุ้มด้วยสบู่หรือสารซักฟอก ชนิดที่ใช้ในการซักล้างหรือทำความสะอาด (ยกเว้นใช้กับร่างกาย)</t>
  </si>
  <si>
    <t>สารซักฟอกและสิ่งปรุงแต่งที่ใช้ในการซักล้างและทำความสะอาด รวมถึงสิ่งปรุงแต่งที่ใช้ในการฟอกขาว ขจัดไข</t>
  </si>
  <si>
    <t>สิ่งปรุงแต่งที่ให้กลิ่นหอมและไข</t>
  </si>
  <si>
    <t>สิ่งปรุงแต่งที่ใช้ทำให้ห้องมีกลิ่นหอมหรือดับกลิ่นห้อง รวมถึงสิ่งปรุงแต่งที่ให้กลิ่นหอมซึ่งใช้ระหว่างการประกอบพิธีศาสนา</t>
  </si>
  <si>
    <t>ไขเทียมและไขปรุงแต่ง</t>
  </si>
  <si>
    <t xml:space="preserve">ยาขัดเงา ครีมขัดเงา และสิ่งปรุงแต่งที่คล้ายกันสำหรับใช้บำรุงรักษารองเท้า เครื่องหนัง เฟอร์นิเจอร์ พื้น หรือสิ่งอื่นๆ ที่ทำจากไม้ ตัวถังรถ และอื่นๆ </t>
  </si>
  <si>
    <t>เพสต์และผงสำหรับขัดถู และสิ่งปรุงแต่งอื่นๆ สำหรับขัดถู</t>
  </si>
  <si>
    <t>บริการรับจ้างเหมาที่เป็นส่วนหนึ่งของการผลิตสบู่และสารซักฟอก ผลิตภัณฑ์เคมีที่ใช้ในการทำความสะอาดและขัดเงา</t>
  </si>
  <si>
    <t>น้ำหอม เครื่องสำอาง และเครื่องประทินโฉม</t>
  </si>
  <si>
    <t>น้ำหอมและหัวน้ำหอม</t>
  </si>
  <si>
    <t>สิ่งปรุงแต่งที่ใช้แต่งริมฝีปากและตา</t>
  </si>
  <si>
    <t>สิ่งปรุงแต่งที่ใช้แต่งเล็บมือและเล็บเท้า</t>
  </si>
  <si>
    <t>ผงสำหรับใช้เป็นเครื่องสำอางหรือเครื่องประทินโฉม</t>
  </si>
  <si>
    <t>สิ่งปรุงแต่งที่ใช้เสริมความงาม แต่งหน้า หรือบำรุงผิว (เช่น ครีมและโลชั่นสำหรับหน้าและผิว ครีมกันสิว สิ่งปรุงแต่งที่ใช้ทากันแดดหรือทำให้ผิวคล้ำ) ซึ่งมิได้จัดประเภทไว้ในที่อื่น</t>
  </si>
  <si>
    <t>สิ่งปรุงแต่งสำหรับใช้กับผม</t>
  </si>
  <si>
    <t xml:space="preserve">สิ่งปรุงแต่งที่ใช้เพื่ออนามัยของช่องปากหรือฟัน เพสต์และผงสำหรับ ยึดฟันปลอม/กาวยึดฟันปลอม รวมถึงด้ายใช้ทำความสะอาดซอกฟัน (เดนทัลฟลอส) </t>
  </si>
  <si>
    <t>สิ่งปรุงแต่งที่ใช้ในการโกนหนวด สิ่งที่ใช้ดับกลิ่นตัวและใช้ระงับเหงื่อ สิ่งปรุงแต่งที่ใช้ในการทำความสะอาดร่างกาย รวมถึงเครื่องหอม เครื่องสำอาง และเครื่องประทินโฉมอื่นๆ ซึ่งมิได้จัดประเภทไว้ในที่อื่น</t>
  </si>
  <si>
    <t>บริการรับจ้างเหมาที่เป็นส่วนหนึ่งของการผลิตน้ำหอม เครื่องสำอาง เครื่องประทินโฉม</t>
  </si>
  <si>
    <t>ผลิตภัณฑ์เคมีอื่นๆ ซึ่งมิได้จัดประเภทไว้ในที่อื่น</t>
  </si>
  <si>
    <t>วัตถุระเบิด</t>
  </si>
  <si>
    <t>วัตถุระเบิด สายชนวนจุดระเบิด ชนวนระเบิด แก็ปกันกระสุนปืนหรือแก็ปหัวชนวนระเบิด เชื้อจุดระเบิด เชื้อปะทุไฟฟ้า และดอกไม้เพลิง</t>
  </si>
  <si>
    <t>ดินขับและวัตถุระเบิด</t>
  </si>
  <si>
    <t>สายชนวนจุดระเบิด ชนวนระเบิด แก็ปก้นกระสุนปืน หรือแก็ปหัวชนวนระเบิด เชื้อจุดระเบิด เชื้อปะทุไฟฟ้าสำหรับจุดระเบิด</t>
  </si>
  <si>
    <t>ดอกไม้เพลิง</t>
  </si>
  <si>
    <t xml:space="preserve">พลุสัญญาณ พลุสัญญาณตัดฝน พลุสัญญาณตัดหมอก และเครื่องอุปกรณ์ให้สัญญาณขอความช่วยเหลือ  รวมถึงอาวุธยุทธภัณฑ์จำลองจำพวกดอกไม้เพลิง แก็ปก้นกระสุนปืนสำหรับของเล่น </t>
  </si>
  <si>
    <t>ไม้ขีดไฟ</t>
  </si>
  <si>
    <t>บริการรับจ้างเหมาที่เป็นส่วนหนึ่งของการผลิตวัตถุระเบิด</t>
  </si>
  <si>
    <t>กาวและเยลาติน</t>
  </si>
  <si>
    <t>กาว</t>
  </si>
  <si>
    <t>เยลาติน (รวมถึงเยลาตินที่เป็นแผ่นสี่เหลี่ยมผืนผ้าและสี่เหลี่ยมจตุรัส จะแต่งผิวหรือแต่งสีหรือไม่ก็ตาม) และอนุพันธ์ของเยลาติน ไอชิงกลาส</t>
  </si>
  <si>
    <t>บริการรับจ้างเหมาที่เป็นส่วนหนึ่งของการผลิตกาวและเยลาติน</t>
  </si>
  <si>
    <t>น้ำมันหอมระเหย (เอสเซนเชียลออยล์)</t>
  </si>
  <si>
    <t>บริการรับจ้างเหมาที่เป็นส่วนหนึ่งของการผลิตน้ำมันหอมระเหย (เอสเซนเชียลออยล์)</t>
  </si>
  <si>
    <t>ผลิตภัณฑ์เคมีที่ใช้ในการถ่ายรูป</t>
  </si>
  <si>
    <t>แผ่นไวแสงและฟิล์มไวแสงใช้ในการถ่ายรูป ฟิล์มไวแสงชนิดถ่ายแล้วให้ภาพทันที ที่ยังไม่ได้ถ่าย รวมถึงกระดาษไวแสงที่ใช้ในการถ่ายรูป</t>
  </si>
  <si>
    <t>เคมีปรุงแต่งสำหรับใช้ในการถ่ายรูป (ยกเว้นวาร์นิช กาว สารยึดติด และสิ่งปรุงแต่งที่คล้ายกัน) ซึ่งมิได้จัดประเภทไว้ในที่อื่น  รวมถึงผลิตภัณฑ์ไม่ผสมสำหรับใช้ในการถ่ายรูป ที่จัดทำขึ้นเพื่อใช้ตามสัดส่วนที่กำหนดหรือจัดทำขึ้นเพื่อการขายปลีกในลักษณะที่ใช้ได้ทันที (เช่น อิมัลชันไวแสง วัตถุเกี่ยวกับไฟแฟลช เป็นต้น)</t>
  </si>
  <si>
    <t>บริการรับจ้างเหมาที่เป็นส่วนหนึ่งของการผลิตผลิตภัณฑ์เคมีที่ใช้ในการถ่ายรูป</t>
  </si>
  <si>
    <t>ไขมันและน้ำมันที่ได้จากสัตว์หรือพืช และแฟรกชันของของดังกล่าว ที่ผ่านกรรมวิธีเคี่ยว ออกซิเดชัน แยกเอาน้ำออก ซัลเฟอร์ไรเซชัน เป่าลม โพลิเมอรไรเซชัน โดยใช้ความร้อนในสุญญากาศหรือในก๊าซเฉื่อย หรือผ่านกรรมวิธีดัดแปลงทางเคมี โดยวิธีอื่น รวมถึงของผสมหรือของปรุงแต่งที่บริโภคไม่ได้ ซึ่งได้จากไขมัน หรือน้ำมันของสัตว์หรือพืช หรือจาก แฟรกชันของไขมันและน้ำมันต่างชนิดกัน ซึ่งไม่ได้จัดประเภทไว้ในที่อื่น</t>
  </si>
  <si>
    <t>ไขมันและน้ำมันที่ได้จากสัตว์หรือพืช และแฟรกชันของของดังกล่าว ที่ผ่านกรรมวิธีเคี่ยว ออกซิเดชัน แยกเอาน้ำออก ซัลเฟอร์ไรเซชัน เป่าลม โพลิเมอรไรเซชัน โดยใช้ความร้อนในสุญญากาศหรือในก๊าซเฉื่อย หรือผ่านกรรมวิธีดัดแปลงทางเคมี โดยวิธีอื่น รวมถึงของผสมหรือของปรุงแต่งที่บริโภคไม่ได้ ซึ่งได้จากไขมัน หรือน้ำมันของสัตว์หรือพืช หรือจากแฟรกชันของไขมันและน้ำมันต่างชนิดกัน ซึ่งไม่ได้จัดประเภทไว้ในที่อื่น</t>
  </si>
  <si>
    <t>หมึกสำหรับวาดภาพและหมึกเขียน</t>
  </si>
  <si>
    <t>สิ่งปรุงแต่งที่ใช้หล่อลื่น สารเติมแต่ง (แอดดิทิฟ) และสิ่งปรุงแต่งกันการเยือกแข็ง</t>
  </si>
  <si>
    <t>สิ่งปรุงแต่งที่ใช้หล่อลื่น (รวมถึงสิ่งปรุงแต่งที่เป็นน้ำมันซึ่งใช้ในการตัดวัตถุ สิ่งปรุงแต่งที่ใช้ในการคลายสลักเกลียวหรือแป้นเกลียว สิ่งปรุงแต่งที่ใช้กันสนิมหรือกันการผุกร่อน และสิ่งปรุงแต่งที่ใช้สำหรับถอดแม่แบบซึ่งมีสารหล่อลื่นเป็นหลัก) และสิ่งปรุงแต่งชนิดที่ใช้ในกรรมวิธีใช้น้ำมันหรือไขกับวัตถุทอ หนังฟอก หนังเฟอร์ หรือกับวัตถุอื่นๆ (ยกเว้นสิ่งปรุงแต่งที่มีน้ำมันปิโตรเลียมหรือน้ำมันที่ได้จากแร่บิทูมินัสเป็นองค์ประกอบหลักตั้งแต่ร้อยละ 70 ขึ้นไปโดยน้ำหนัก)</t>
  </si>
  <si>
    <t>สิ่งปรุงแต่งกันเครื่องยนต์เคาะ ตัวยับยั้งออกซิเดชัน ตัวยับยั้งกัม ตัวปรับความหนืด สารป้องกันสนิม สิ่งปรุงแต่งกันการกัดกร่อน สารเติมแต่งสำหรับน้ำมันหล่อลื่น และสารเติมแต่ง (แอดดิทิฟ) อื่นๆ  ที่ปรุงแต่งแล้ว สำหรับใช้เติมน้ำมันแร่ (รวมถึงแกสโซลิน) หรือใช้เติมของเหลวอื่นๆ ที่ใช้เพื่อวัตถุประสงค์อย่างเดียวกันกับน้ำมันแร่</t>
  </si>
  <si>
    <t>น้ำมันเบรกไฮดรอลิก สิ่งปรุงแต่งกันการเยือกแข็ง และของเหลวปรุงแต่งขจัดน้ำแข็ง</t>
  </si>
  <si>
    <t>เพปโทนและอนุพันธ์ของเพปโทน สารโปรตีนอื่นๆ และอนุพันธ์ของสารโปรตีนเหล่านั้น ที่ไม่ได้จัดประเภทไว้ในที่อื่น ผงหนังดิบจะใส่โครมอลัมด้วยหรือไม่ก็ตาม</t>
  </si>
  <si>
    <t>เพสต์สำหรับทำแบบ สิ่งปรุงแต่งและสิ่งดับเพลิง อาหารเพาะเชื้อปรุงแต่ง และรีเอเจนต์ที่มีวัตถุรองรับหรือรีเอเจนต์ปรุงแต่งแล้ว</t>
  </si>
  <si>
    <t>ธาตุเคมีที่โด๊ปแล้วสำหรับใช้ในทางอิเล็กทรอนิกส์ มีลักษณะเป็นแผ่นกลม เป็นเวเฟอร์หรือลักษณะที่คล้ายกัน สารประกอบเคมีที่โด๊ปแล้วสำหรับใช้ในทางอิเล็กทรอนิกส์</t>
  </si>
  <si>
    <t>คาร์บอนกัมมันต์</t>
  </si>
  <si>
    <t>ฟินิชชิ่งเอเจนต์ ไดย์แคร์ริเออร์ที่ใช้เร่งการย้อมสีหรือเร่งการติดของสี รวมถึงผลิตภัณฑ์และสิ่งปรุงแต่งอื่นๆ (เช่น สารตกแต่งหรือสารช่วยสีติด) ชนิดที่ใช้ในอุตสาหกรรมสิ่งทอ กระดาษ หนัง หรือในอุตสาหกรรมที่คล้ายกัน ที่มิได้จัดประเภทไว้ในที่อื่น</t>
  </si>
  <si>
    <t>สิ่งปรุงแต่งสำหรับกัดล้างผิวโลหะ ฟลักซ์ สิ่งปรุงแต่งที่ใช้เป็นตัวเร่งสำหรับยาง คอมพาวนด์พลาสติกไซเซอร์และคอมพาวนด์สเตบิไลเซอร์ของยางหรือพลาสติก  สิ่งปรุงแต่งคะตะไลส์ ซึ่งมิได้จัดประเภทไว้ในที่อื่น รวมถึงแอลคิลเบนซีนผสมและแอลคิลแนฟทาลีนผสม ซึ่งมิได้จัดประเภทไว้ในที่อื่น</t>
  </si>
  <si>
    <t xml:space="preserve">สารยึดปรุงแต่งสำหรับทำแบบหล่อหรือแกนหล่อ เมทัลคาร์ไบด์ที่ผสมเข้าด้วยกันหรือที่ผสมกับสารยึดที่มีโลหะซึ่งไม่ได้เกาะหรือติดรวมกัน  สารเติมแต่งที่ปรุงแต่งแล้วสำหรับใช้กับซีเมนต์ มอร์ทาร์ หรือคอนกรีต ซอร์บิทอล (ยกเว้น ดี-กลูซิทอล (ซอร์บิทอล))  </t>
  </si>
  <si>
    <t>แอลบูมินที่ได้จากนม รวมถึงเคซีอิเนตและอนุพันธ์อื่นๆ ของเคซีอิน</t>
  </si>
  <si>
    <t>บริการรับจ้างเหมาที่เป็นส่วนหนึ่งของการผลิตผลิตภัณฑ์เคมีอื่นๆ ซึ่งมิได้จัดประเภทไว้ในที่อื่น</t>
  </si>
  <si>
    <t>เส้นใยประดิษฐ์</t>
  </si>
  <si>
    <t>เส้นใยสังเคราะห์</t>
  </si>
  <si>
    <t>เส้นใยสังเคราะห์และกลุ่มใยยาวสังเคราะห์ ที่ไม่ได้สางหรือหวี</t>
  </si>
  <si>
    <t>ด้ายใยยาวสังเคราะห์ทนแรงดึงสูงที่ทำจากโพลิอะไมด์และโพลิเอสเทอร์</t>
  </si>
  <si>
    <t>ด้ายใยยาวสังเคราะห์ที่เป็นด้ายเพื่อผิวสัมผัสและด้ายใยยาวสังเคราะห์ ที่เป็นเส้นเดี่ยว ไม่ตีเกลียวหรือตีเกลียว</t>
  </si>
  <si>
    <t>ใยยาวเดี่ยวสังเคราะห์ รวมถึงแถบและสิ่งของที่คล้ายกัน ที่ทำจากวัตถุทอสังเคราะห์</t>
  </si>
  <si>
    <t>เส้นใยเทียม</t>
  </si>
  <si>
    <t>เส้นใยเทียมและกลุ่มใยยาวเทียม ที่ไม่ได้สางหรือหวี</t>
  </si>
  <si>
    <t>ด้ายใยยาวเทียมทนแรงดึงสูง ที่ทำจากวิสโคสเรยอน</t>
  </si>
  <si>
    <t xml:space="preserve">ด้ายใยยาวเทียมอื่นๆ ที่เป็นเส้นเดี่ยว </t>
  </si>
  <si>
    <t>ใยยาวเดี่ยวเทียม รวมถึงแถบและของที่คล้ายกัน (เช่น ฟางเทียม) ที่ทำจากวัตถุทอเทียม</t>
  </si>
  <si>
    <t>เภสัชภัณฑ์ เคมีภัณฑ์ที่ใช้รักษาโรค และผลิตภัณฑ์จากพืชและสัตว์ที่ใช้รักษาโรค</t>
  </si>
  <si>
    <t>เภสัชภัณฑ์และเคมีภัณฑ์ที่ใช้รักษาโรค</t>
  </si>
  <si>
    <t>กรดซาลิซิลิกและเกลือของกรดซาลิซิลิก กรดโอ-อะซีทิลซาลิซิลิก เกลือและเอสเทอร์ของกรดโอ-อะซีทิลซาลิซิลิก เอสเทอร์อื่นๆ ของกรดซาลิซิกลิกและเกลือของของดังกล่าว</t>
  </si>
  <si>
    <t>ไลซีน กรดกลูทามิก และเกลือของของดังกล่าว เกลือควอเทอร์นารีแอมโมเนียมและควอเทอร์นารีแอมโมเนียมไฮดรอกไซด์ ฟอสโฟ-อะมิโนไลปิด รวมถึงอะไมด์ อนุพันธ์ของอะไมด์ และเกลือของของดังกล่าว</t>
  </si>
  <si>
    <t>แลกโทน ซึ่งมิได้จัดประเภทไว้ในที่อื่น สารประกอบเฮตเทอร์โรไซคลิก ที่มีไนโตรเจนเฮตเทอร์โรอะตอมเท่านั้น ที่ในโครงสร้างมีอันฟิวส์ไพรา-โซนริง ไพริมิดีนริง มีอันฟิวส์ไตรอะซีนริง หรือมีฟีโนไทอะซีนริงซิสเต็ม ที่ไม่ได้ฟิวส์ต่อไป ไฮแดนโทอินและอนุพันธ์ของไฮแดนโทอิน รวมถึง ซัลโฟนาไมด์</t>
  </si>
  <si>
    <t>แลกโทน ซึ่งมิได้จัดประเภทไว้ในที่อื่น สารประกอบเฮตเทอร์โรไซคลิก ที่มีไนโตรเจนเฮตเทอร์โรอะตอมเท่านั้น ซึ่งในโครงสร้างมีอันฟิวส์ไพรา-โซนริง ไพริมิดีนริง มีอันฟิวส์ไตรอะซีนริง หรือมีฟีโนไทอะซีนริงซิสเต็ม ที่ไม่ได้ฟิวส์ต่อไป รวมถึงไฮแดนโทอินและอนุพันธ์ของไฮแดนโทอิน</t>
  </si>
  <si>
    <t>ซัลโฟนาไมด์</t>
  </si>
  <si>
    <t>น้ำตาลที่บริสุทธิ์ในทางเคมี (ยกเว้นซูโครส แล็กโทส มอลโทส กลูโคส และฟรักโทส) รวมถึงชูการ์อีเทอร์ ชูการ์อะซีทัล และชูการ์เอสเทอร์ และเกลือของชูการ์อีเทอร์ เกลือของชูการ์อะซีทัล และเกลือของชูการ์เอสเทอร์ ซึ่งมิได้จัดประเภทไว้ในที่อื่น</t>
  </si>
  <si>
    <t>โพรไวตามิน ไวตามิน และฮอร์โมน กลีโคไซด์และแอลคาลอยด์จากพืช รวมถึงปฏิชีวนะ (แอนติไบโอติก)</t>
  </si>
  <si>
    <t>โพรไวตามินและไวตามิน ที่ได้จากธรรมชาติหรือจากการสังเคราะห์ (รวมถึงไวตามินธรรมชาติที่เข้มข้น) และอนุพันธ์ของของดังกล่าว      ที่ใช้ประโยชน์หลักเป็นไวตามิน รวมถึงสิ่งผสมระหว่างของดังกล่าว ซึ่งจะอยู่ในตัวทำละลายใดหรือไม่ก็ตาม</t>
  </si>
  <si>
    <t>ฮอร์โมน พรอสทาแกลนดิน ทรอมโบเซน และลิวโคทรีน ที่ได้จากธรรมชาติหรือจาการสังเคราะห์อนุพันธ์และของที่มีโครงสร้างคล้ายกันของของดังกล่าว รวมถึงเชนโมดิไฟด์ โพลิเปปไทด์ ที่ใช้ประโยชน์หลักเป็นฮอร์โมน</t>
  </si>
  <si>
    <t>กลีโคไซด์ แอลคาลอยด์จากพืช รวมถึงเกลือ อีเทอร์ เอสเทอร์ และอนุพันธ์อื่นๆ ของของดังกล่าว</t>
  </si>
  <si>
    <t>ปฏิชีวนะ/แอนติไบโอติก (เช่น เพนิซิลลิน สเตรปโตไมซิน เตตระ-ไซคลิน คลอแรมฟีนิคอล อีริโทรไมซิน รวมถึงเกลือและอนุพันธ์ของของดังกล่าว)</t>
  </si>
  <si>
    <t>สิ่งสกัดและสารอื่นๆ ที่ได้จากต่อมและอวัยวะของมนุษย์หรือสัตว์ ซึ่งมิได้จัดประเภทไว้ในที่อื่น</t>
  </si>
  <si>
    <t>ยารักษาโรคหรือป้องกันโรค</t>
  </si>
  <si>
    <t>ยารักษาโรคหรือป้องกันโรค ที่มีเพนิซิลลินหรืออนุพันธ์ของเพนิซิลลิน ซึ่งมีโครงสร้างของกรดเพนิซิลลานิก หรือมีสเตรปโตไมซิน หรืออนุพันธ์ของสเตรปโตไมซิน และที่มีปฏิชีวนะอื่นๆ</t>
  </si>
  <si>
    <t>ยารักษาโรคหรือป้องกันโรค ที่มีฮอร์โมนตามประเภท 21001.52 แต่ ไม่มีปฏิชีวนะ</t>
  </si>
  <si>
    <t>ยารักษาโรคหรือป้องกันโรค ที่มีแอลคาลอยด์หรืออนุพันธ์ของ แอลคาลอยด์ แต่ไม่มีฮอร์โมนหรือไม่มีปฏิชีวนะ</t>
  </si>
  <si>
    <t>ผลิตภัณฑ์ทางเภสัชกรรมอื่นๆ</t>
  </si>
  <si>
    <t>แอนติซีราและแฟรกชันอื่นๆ ของเลือด และผลิตภัณฑ์ภูมิคุ้มกันวิทยาดัดแปลงที่ได้จากกระบวนการทางเทคโนโลยีชีวภาพหรือไม่ก็ตาม (เช่น สารละลายพลาสมาโปรตีน) วัคซีนใช้เป็นยาสำหรับมนุษย์ (เช่น   ทอกซอยด์โรคบาดทะยัก วัคซีนโรคไอกรน โรคหัด โรคเยื่อหุ้มสมองอักเสบ หรือโปลิโอ เป็นต้น) และวัคซีนใช้เป็นยาสำหรับสัตว์</t>
  </si>
  <si>
    <t>เคมีปรุงแต่งที่ใช้คุมกำเนิด ซึ่งมีฮอร์โมนหรือผลิตภัณฑ์อื่นๆ ตามประเภท 21001.52 หรือมีสเปอร์มิไซด์เป็นหลัก</t>
  </si>
  <si>
    <t>รีเอเจนต์ที่ใช้ในการตรวจกลุ่มเลือด ของปรุงแต่งทึบแสงสำหรับใช้ในการตรวจโรคด้วยเอกซเรย์ และรีเอเจนต์ที่ใช้ในการวินิจฉัยโรคที่ทำขึ้นเพื่อใช้กับผู้ป่วย (เช่น แบเรียมซัลเฟตชนิดใช้รับประทาน)</t>
  </si>
  <si>
    <t>ผ้ากอซหรือผ้าพันแผลที่อาบซึมหรือเคลือบด้วยสารที่เป็นเภสัชภัณฑ์ของที่ใช้แต่งแผลที่มีสารยึดติด รวมถึงกล่องปฐมพยาบาล</t>
  </si>
  <si>
    <t>บริการรับจ้างเหมาที่เป็นส่วนหนึ่งของการผลิตผลิตภัณฑ์และเคมีภัณฑ์ที่ใช้ในการรักษาโรค</t>
  </si>
  <si>
    <t>ผลิตภัณฑ์จากพืชและสัตว์ที่ใช้รักษาโรค</t>
  </si>
  <si>
    <t>ผลิตภัณฑ์จากพืชและสัตว์ที่ใช้ในการรักษาโรค</t>
  </si>
  <si>
    <t>บริการรับจ้างเหมาที่เป็นส่วนหนึ่งของการผลิตผลิตภัณฑ์เภสัชภัณฑ์จากพืชและสัตว์ที่ใช้รักษาโรค</t>
  </si>
  <si>
    <t>ผลิตภัณฑ์ยางและพลาสติก</t>
  </si>
  <si>
    <t>ผลิตภัณฑ์ยาง</t>
  </si>
  <si>
    <t>ยางนอกและยางใน ยางที่หล่อดอกใหม่หรือซ่อมสร้างใหม่</t>
  </si>
  <si>
    <t>ยางนอกและยางใน</t>
  </si>
  <si>
    <t>ยางนอกและยางใน ที่เป็นของใหม่</t>
  </si>
  <si>
    <t>ยางนอกชนิดอัดลม ที่เป็นของใหม่ ชนิดใช้กับรถยนต์นั่ง</t>
  </si>
  <si>
    <t>ยางนอกชนิดอัดลม ที่เป็นของใหม่ ชนิดใช้กับจักรยานยนต์หรือรถจักรยาน</t>
  </si>
  <si>
    <t>ยางนอกชนิดอัดลม ที่เป็นของใหม่ ชนิดใช้กับรถบัส รถบรรทุก หรืออากาศยาน</t>
  </si>
  <si>
    <t>ยางนอกชนิดอัดลมอื่นๆ ที่เป็นของใหม่ ที่มีดอกยางแบบเฮอร์ริงโบน หรือแบบที่คล้ายกัน หรืออื่นๆ ชนิดใช้กับยานบกและเครื่องจักรสำหรับใช้ในการเกษตรหรือการป่าไม้ การก่อสร้างหรือการขนย้ายในทางอุตสาหกรรม ฯลฯ</t>
  </si>
  <si>
    <t>ยางใน ยางตันหรือยางคูชัน</t>
  </si>
  <si>
    <t>บริการรับจ้างเหมาที่เป็นส่วนหนึ่งของการผลิตยางนอกและยางใน</t>
  </si>
  <si>
    <t>ยางที่หล่อดอกใหม่หรือซ่อมสร้างใหม่</t>
  </si>
  <si>
    <t>ดอกยางชนิดสับเปลี่ยนได้ ยางรองยางใน และแถบ “คาเมลแบล็ก” สำหรับหล่อดอกยางนอก</t>
  </si>
  <si>
    <t>ดอกยางชนิดสับเปลี่ยนได้และยางรองยางใน</t>
  </si>
  <si>
    <t>แถบ “คาเมลแบล็ก” สำหรับหล่อดอกยางนอก</t>
  </si>
  <si>
    <t>ยางนอกชนิดอัดลม ที่หล่อดอกใหม่หรือซ่อมสร้างใหม่</t>
  </si>
  <si>
    <t>บริการรับจ้างเหมาที่เป็นส่วนหนึ่งของการผลิตยางที่หล่อดอกใหม่หรือซ่อมสร้างใหม่</t>
  </si>
  <si>
    <t>ผลิตภัณฑ์ยางอื่นๆ</t>
  </si>
  <si>
    <t>ยางแผ่น แท่ง ก้อน และรูปทรงต่างๆ</t>
  </si>
  <si>
    <t>ยางปรับสภาพ (รีเคลม) ในลักษณะขั้นปฐม หรือเป็นแผ่น แผ่นบาง หรือเป็นแถบ</t>
  </si>
  <si>
    <t xml:space="preserve">ยางแผ่นรมควัน ยางแท่ง ยางก้อน ยางเครป ยางรูปทรงโพรไฟล์ และยางในลักษณะขั้นต้นหรือขั้นปฐมอื่นๆ  </t>
  </si>
  <si>
    <t>ยางผสม (คอมพาวนด์) ชนิดอันวัลแคไนซ์ ในลักษณะขั้นปฐม หรือเป็นแผ่น แผ่นบาง หรือเป็นแถบ</t>
  </si>
  <si>
    <t>บริการรับจ้างเหมาที่เป็นส่วนหนึ่งของการผลิตยางแผ่น แท่ง ก้อน และรูปทรงต่างๆ</t>
  </si>
  <si>
    <t>น้ำยางข้น</t>
  </si>
  <si>
    <t>บริการรับจ้างเหมาที่เป็นส่วนหนึ่งของการผลิตน้ำยางข้น</t>
  </si>
  <si>
    <t>สิ่งของเครื่องใช้ด้านสุขอนามัยหรือเภสัชกรรมที่ทำจากยาง</t>
  </si>
  <si>
    <t>ของที่ใช้เพื่อการอนามัยหรือใช้ในทางเภสัชกรรม (รวมถึงหัวนม) ที่ทำจากยางวัลแคไนซ์ (ยกเว้นยางแข็ง) มีหรือไม่มีอุปกรณ์ติดตั้งที่ทำจากยางแข็ง เช่น ถุงยางอนามัย หัวนมสำหรับขวดนม จุกสำหรับใช้ในทางเภสัชกรรม ถุงน้ำแข็ง/ถุงน้ำร้อน ถุงมือยางที่ใช้ในทางการแพทย์ เป็นต้น</t>
  </si>
  <si>
    <t>บริการรับจ้างเหมาที่เป็นส่วนหนึ่งของการผลิตสิ่งของเครื่องใช้ด้านสุขอนามัยหรือเภสัชกรรม ที่ทำจากยาง</t>
  </si>
  <si>
    <t>ผลิตภัณฑ์ยางอื่นๆ ซึ่งมิได้จัดประเภทไว้ในที่อื่น</t>
  </si>
  <si>
    <t>ยางชนิดอันวัลแคไนซ์และของของดังกล่าว ยางวัลแคไนซ์ (ยกเว้นยางแข็ง) ในลักษณะเส้น แผ่น แผ่นบาง แถบ ท่อน และรูปทรงโพรไฟล์</t>
  </si>
  <si>
    <t>หลอดหรือท่อและท่ออ่อน ที่ทำจากยางวัลแคไนซ์ (ยกเว้นยางแข็ง) มีหรือไม่มีอุปกรณ์ติดตั้ง (เช่น ข้อต่อ ข้องอ แป้นข้อต่อ)</t>
  </si>
  <si>
    <t>สายพานลำเลียง สายพานส่งกำลัง หรือของที่ใช้เป็นสายพาน ที่ทำจากยางวัลแคไนซ์</t>
  </si>
  <si>
    <t>ผ้าสิ่งทอปนยาง (ยกเว้นผ้าใบยางรถ/ผ้าไทร์คอร์ด) เช่น ผ้าเทปพันกันฉนวนไฟฟ้า เป็นต้น</t>
  </si>
  <si>
    <t>เครื่องแต่งกายและของที่ใช้ประกอบกับเครื่องแต่งกาย (รวมถึงถุงมือทุกชนิด) ใช้เพื่อวัตถุประสงค์ใดก็ตาม ที่ทำจากยางวัลแคไนซ์ (ยกเว้นยางแข็ง)</t>
  </si>
  <si>
    <t>สิ่งของที่ทำจากยางวัลแคไนซ์ ซึ่งมิได้จัดประเภทไว้ที่อื่น</t>
  </si>
  <si>
    <t>สิ่งปูพื้นและเสื่อ ที่ทำจากยางวัลแคไนซ์ (ยกเว้นยางเซลลูลาร์)</t>
  </si>
  <si>
    <t>สิ่งของอื่นๆ ที่ทำจากยางวัลแคไนซ์ ซึ่งมิได้จัดประเภทไว้ในที่อื่น</t>
  </si>
  <si>
    <t>บริการรับจ้างเหมาที่เป็นส่วนหนึ่งของการผลิตผลิตภัณฑ์ยางอื่นๆ ซึ่งมิได้จัดประเภทไว้ในที่อื่น</t>
  </si>
  <si>
    <t>ผลิตภัณฑ์พลาสติก</t>
  </si>
  <si>
    <t>ผลิตภัณฑ์ที่ใช้ในการก่อสร้าง/ประกอบอาคารที่ทำจากพลาสติก</t>
  </si>
  <si>
    <t>เครื่องประกอบอาคาร ที่ทำจากพลาสติก</t>
  </si>
  <si>
    <t>พลาสติกปูพื้น (ทำจากโพลิเมอร์ของไวนิลคลอไรด์หรือพลาสติกอื่นๆ) จะเป็นชนิดยึดติดได้ในตัวหรือไม่ก็ตาม เป็นม้วน หรือมีลักษณะเป็นแผ่นกระเบื้อง รวมถึงพลาสติกปิดผนังหรือเพดานที่มีความกว้างไม่น้อยกว่า 45 เซนติเมตร</t>
  </si>
  <si>
    <t>อ่างอาบน้ำ ที่อาบน้ำชนิดฝักบัว อ่างล้างชาม อ่างล้างหน้า บิเด โถส้วม ที่รองนั่งและฝาปิดโถส้วม ถังน้ำชักโครก และเครื่องสุขภัณฑ์ที่คล้ายกัน ที่ทำจากพลาสติก</t>
  </si>
  <si>
    <t>เรเซอร์วัวร์ แท้งก์ แว้ต และภาชนะสำหรับบรรจุที่คล้ายกัน มีความจุเกิน 300 ลิตร ที่ทำจากพลาสติก</t>
  </si>
  <si>
    <t>ประตู หน้าต่าง กรอบประตูหน้าต่าง ธรณีประตู บานเลื่อน ฉากบังตาหรือมู่ลี่ (รวมถึงบานเกล็ดนอน) และของที่คล้ายกัน รวมถึงส่วนประกอบของของดังกล่าว ที่ทำจากพลาสติก</t>
  </si>
  <si>
    <t>พรมน้ำมัน จะตัดให้เป็นรูปทรงหรือไม่ก็ตาม รวมถึงสิ่งปูพื้นที่ทำโดยการเคลือบหรือหุ้มแผ่นรองรับที่เป็นสิ่งทอ จะตัดให้เป็นรูปทรงหรือไม่ ก็ตาม</t>
  </si>
  <si>
    <t>เครื่องประกอบอาคารอื่นๆ ที่ทำจากพลาสติก</t>
  </si>
  <si>
    <t>อาคารสำเร็จรูป ที่ทำจากพลาสติก</t>
  </si>
  <si>
    <t>อาคารสำเร็จรูปที่ทำจากพลาสติก</t>
  </si>
  <si>
    <t>บริการรับจ้างเหมาที่เป็นส่วนหนึ่งของการผลิตผลิตภัณฑ์ที่ใช้ในการก่อสร้าง/ประกอบอาคาร ที่ทำจากพลาสติก</t>
  </si>
  <si>
    <t>บรรจุภัณฑ์พลาสติก</t>
  </si>
  <si>
    <t xml:space="preserve">กระสอบและถุง (รวมถึงกรวย) </t>
  </si>
  <si>
    <t>กล่อง หีบ หีบโปร่ง และของที่คล้ายกัน ที่ทำจากพลาสติก</t>
  </si>
  <si>
    <t>ขวดขนาดใหญ่ ขวด ขวดคอคอด และของที่คล้ายกันที่ทำจากพลาสติก รวมถึงหลอดยาสีฟัน</t>
  </si>
  <si>
    <t>บรรจุภัณฑ์อื่นๆ ที่ทำจากพลาสติก เช่น แกนม้วน กรวยม้วน กระสวย และของรองรับที่คล้ายกัน จุก ฝา และที่ปิดครอบอื่นๆ</t>
  </si>
  <si>
    <t>บริการรับจ้างเหมาที่เป็นส่วนหนึ่งของการผลิตบรรจุภัณฑ์พลาสติก</t>
  </si>
  <si>
    <t>ผลิตภัณฑ์พลาสติกกึ่งสำเร็จรูปและสำเร็จรูป</t>
  </si>
  <si>
    <t>ใยยาวเดี่ยว ที่ทำจากพลาสติก ที่มีขนาดภาคตัดขวางใดเกิน 1 มิลลิเมตร เส้น แท่ง และรูปทรงโพรไฟล์ ที่ทำจากพลาสติก จะแต่งผิวหรือไม่ก็ตาม แต่ต้องไม่ทำมากไปกว่านี้</t>
  </si>
  <si>
    <t>หลอด ท่อ และท่ออ่อน ที่ทำจากพลาสติก รวมถึงอุปกรณ์ติดตั้ง</t>
  </si>
  <si>
    <t>ไส้เทียม (ปลอกไส้กรอก) ที่ทำจากโปรตีนแข็งหรือวัตถุจำพวกเซลลูโลส รวมถึงหลอดหรือท่อและท่ออ่อน ชนิดแข็ง</t>
  </si>
  <si>
    <t xml:space="preserve">หลอดหรือท่อ และท่ออ่อน ชนิดงอได้และชนิดอื่นๆ ที่ไม่เสริมให้แข็งแรงหรือไม่มีวัตถุอื่นอยู่ด้วย และอุปกรณ์ติดตั้งท่อและท่ออ่อน รวมถึงปลอกไส้กรอกหรือปลอกหมูแฮม  </t>
  </si>
  <si>
    <t>แผ่น แผ่นบาง ฟิล์ม ฟอยล์ และแถบชนิดอื่นๆ ที่ทำจากพลาสติก ที่ไม่ทำเป็นแบบเซลลูลาร์และไม่เสริมให้แข็งแรง ไม่อัดเป็นชั้น ไม่เสริมรองหรือไม่ประกบโดยวิธีที่คล้ายกัน ด้วยวัตถุอื่น</t>
  </si>
  <si>
    <t>แผ่น แผ่นบาง ฟิล์ม ฟอยล์ และแถบชนิดอื่นๆ ที่ทำจากพลาสติก</t>
  </si>
  <si>
    <t>ชนิดเซลลูลาร์</t>
  </si>
  <si>
    <t>ไม่ใช่ชนิดเซลลูลาร์</t>
  </si>
  <si>
    <t>บริการรับจ้างเหมาที่เป็นส่วนหนึ่งของการผลิตพลาสติกกึ่งสำเร็จรูปและสำเร็จรูป</t>
  </si>
  <si>
    <t>ผลิตภัณฑ์พลาสติกอื่นๆ</t>
  </si>
  <si>
    <t>เครื่องใช้บนโต๊ะอาหาร ในครัว และในห้องน้ำ ที่ทำจากพลาสติก</t>
  </si>
  <si>
    <t>เครื่องใช้บนโต๊ะอาหาร เครื่องครัว ของใช้ในบ้านเรือนอื่นๆ และของใช้เพื่อสุขลักษณะหรือใช้ในห้องน้ำ ที่ทำจากพลาสติก</t>
  </si>
  <si>
    <t>บริการรับจ้างเหมาที่เป็นส่วนหนึ่งของการผลิตเครื่องใช้บนโต๊ะอาหาร ในครัว และในห้องน้ำ ที่ทำจากพลาสติก</t>
  </si>
  <si>
    <t>ผลิตภัณฑ์ไฟเบอร์กลาส</t>
  </si>
  <si>
    <t>อ่างอาบน้ำ ที่อาบน้ำชนิดฝักบัว อ่างล้างชาม อ่างล้างหน้า บิเด โถส้วม ที่รองนั่งและฝาบิดโถส้วม ถังน้ำชักโครก และเครื่องสุขภัณฑ์ที่คล้ายกัน ที่ทำจากไฟเบอร์กลาส</t>
  </si>
  <si>
    <t>เรเซอร์วัวร์ แท้งก์ แว้ต และภาชนะสำหรับบรรจุที่คล้ายกัน มีความจุเกิน 300 ลิตร ที่ทำจากไฟเบอร์กลาส</t>
  </si>
  <si>
    <t>ประตู หน้าต่าง กรอบประตูหน้าต่าง บานเลื่อน ฉากบังตาหรือมู่ลี่ และเครื่องประกอบอาคารอื่นๆ ที่ทำจากไฟเบอร์กลาส</t>
  </si>
  <si>
    <t>อุปกรณ์ติดตั้งสำหรับเฟอร์นิเจอร์ สำหรับตัวถังรถยนต์ หรือสิ่งที่คล้ายกัน รูปปั้นขนาดเล็กและเครื่องประดับอื่นๆ ที่ทำจากไฟเบอร์กลาส</t>
  </si>
  <si>
    <t>สิ่งของอื่นๆ ที่ทำจากไฟเบอร์กลาส ซึ่งมิได้จัดประเภทไว้ในที่อื่น</t>
  </si>
  <si>
    <t>บริการรับจ้างเหมาที่เป็นส่วนหนึ่งของการผลิตผลิตภัณฑ์ไฟเบอร์กลาส</t>
  </si>
  <si>
    <t>ผลิตภัณฑ์พลาสติกอื่นๆ ซึ่งมิได้จัดประเภทไว้ในที่อื่น</t>
  </si>
  <si>
    <t>เครื่องแต่งกายและของที่ใช้ประกอบกับเครื่องแต่งกาย ที่ทำจากพลาสติก</t>
  </si>
  <si>
    <t>แผ่น แผ่นบาง ฟิล์ม ฟอยล์ เทป แถบ และรูปทรงแบบอื่นๆ ชนิดยึดติดได้ในตัวที่ทำจากพลาสติก เป็นม้วน มีความกว้างไม่เกิน 20 เซนติเมตร</t>
  </si>
  <si>
    <t>แผ่น แผ่นบาง ฟิล์ม ฟอยล์ เทป แถบ และรูปทรงแบบอื่นๆ ชนิดยึดติดได้ในตัว ที่ทำจากพลาสติก เป็นม้วน มีความกว้างตั้งแต่ 20 เซนติเมตรขึ้นไป</t>
  </si>
  <si>
    <t>ส่วนประกอบของเครื่องประทีปโคมไฟ ป้ายชื่อที่มีแสงสว่าง และของที่คล้ายกัน ที่ทำจากพลาสติก</t>
  </si>
  <si>
    <t>ของใช้สำนักงานหรือโรงเรียน ที่ทำจากพลาสติก</t>
  </si>
  <si>
    <t>อุปกรณ์ติดตั้งสำหรับเฟอร์นิเจอร์ สำหรับตัวถังรถยนต์ หรือสิ่งที่คล้ายกัน รูปปั้นขนาดเล็กและเครื่องประดับอื่นๆ ที่ทำจากพลาสติก</t>
  </si>
  <si>
    <t>สิ่งของอื่นๆ ที่ทำจากพลาสติก ซึ่งมิได้จัดประเภทไว้ในที่อื่น</t>
  </si>
  <si>
    <t>บริการรับจ้างเหมาที่เป็นส่วนหนึ่งของการผลิตผลิตภัณฑ์พลาสติกอื่นๆ ซึ่งมิได้จัดประเภทไว้ในที่อื่น</t>
  </si>
  <si>
    <t>ผลิตภัณฑ์อื่นๆ ที่ทำจากแร่อโลหะ</t>
  </si>
  <si>
    <t>แก้วและผลิตภัณฑ์แก้ว</t>
  </si>
  <si>
    <t>แก้ว/กระจกแผ่น</t>
  </si>
  <si>
    <t>แก้วที่ได้จากการหล่อ รีด ดึง หรือเป่า เป็นแผ่นหรือเป็นโพรไฟล์ จะมีชั้นผิวสำหรับดูดกลืนแสง สะท้อนแสง หรือไม่สะท้อนแสงหรือไม่ก็ตาม แต่ไม่ได้ตกแต่งอย่างอื่น</t>
  </si>
  <si>
    <t>โฟลตกลาสและแก้วที่ขัดผิวหรือขัดมัน เป็นแผ่น จะมีชั้นผิวสำหรับดูดกลืนแสง สะท้อนแสง หรือไม่สะท้อนแสงหรือไม่ก็ตาม แต่ไม่ได้ตกแต่งอย่างอื่น</t>
  </si>
  <si>
    <t>แก้ว/กระจกแผ่น ที่ทำให้เป็นรูปทรงและที่ผ่านกรรมวิธี</t>
  </si>
  <si>
    <t>แก้วแผ่น ที่ทำให้โค้ง แต่งขอบ สลัก เจาะรู เคลือบเอนาเมล หรือตกแต่งอย่างอื่น แต่ต้องไม่มีกรอบหรือติดกับวัตถุอื่นๆ</t>
  </si>
  <si>
    <t>กระจกนิรภัยชนิดแตกแล้วไม่มีคม (เทมเพอร์) หรือชนิดแตกแล้วไม่กระจาย (ลามิเนต)</t>
  </si>
  <si>
    <t>กระจกเงา รวมถึงฉนวนแบบมัลติเพิลวอลล์ ที่ทำจากแก้ว</t>
  </si>
  <si>
    <t>บริการรับจ้างเหมาที่เป็นส่วนหนึ่งของการผลิตแก้ว/กระจกแผ่น</t>
  </si>
  <si>
    <t>ภาชนะบรรจุและเครื่องใช้บนโต๊ะอาหารที่ทำจากแก้ว</t>
  </si>
  <si>
    <t>ภาชนะบรรจุและเครื่องใช้บนโต๊ะอาหาร ที่ทำจากแก้ว</t>
  </si>
  <si>
    <t>คาร์บอย ขวด ขวดคอคอด กระปุก หม้อ ขวดยา และภาชนะอื่นๆ ที่ทำจากแก้วชนิดที่ใช้ลำเลียงหรือบรรจุของ รวมถึงขวดโหลแก้วที่ใช้ถนอมอาหาร จุก ฝา และที่ปิดอื่นๆ ที่ทำจากแก้ว</t>
  </si>
  <si>
    <t>แก้วเครื่องดื่มแบบสเต็มแวร์ (ทรงสูง มีก้าน) และแก้วเครื่องดื่มอื่นๆ (ยกเว้นที่ทำจากแก้วเซรามิก)</t>
  </si>
  <si>
    <t>เครื่องแก้วชนิดที่ใช้บนโต๊ะอาหาร (ยกเว้นแก้วเครื่องดื่ม) ในครัว ในห้องน้ำ ในสำนักงาน ใช้ตกแต่งภายใน หรือเพื่อวัตถุประสงค์ที่คล้ายกัน</t>
  </si>
  <si>
    <t>แก้วไส้ในสำหรับกระติกสุญญากาศหรือภาชนะสุญญากาศอื่นๆ</t>
  </si>
  <si>
    <t>บริการแต่งสำเร็จเครื่องแก้วและภาชนะบรรจุที่ทำจากแก้ว และบริการรับจ้างเหมาที่เป็นส่วนหนึ่งของการผลิตภาชนะบรรจุและเครื่องใช้บนโต๊ะอาหารที่ทำจากแก้ว</t>
  </si>
  <si>
    <t>บริการแต่งสำเร็จเครื่องแก้วและภาชนะบรรจุที่ทำจากแก้ว</t>
  </si>
  <si>
    <t>บริการรับจ้างเหมาที่เป็นส่วนหนึ่งของการผลิตภาชนะบรรจุและเครื่องใช้บนโต๊ะอาหาร ที่ทำจากแก้ว</t>
  </si>
  <si>
    <t>ไฟเบอร์กลาส</t>
  </si>
  <si>
    <t xml:space="preserve">สไลเวอร์ สายใย ด้ายและด้ายที่ตัดเป็นเส้นสั้น ที่ทำจากไฟเบอร์กลาส </t>
  </si>
  <si>
    <t>แผ่นบาง (วอยล์) แผ่นเยื่อ เสื่อ ที่นอน บอร์ด และผลิตภัณฑ์ไม่ทอที่คล้ายกัน (ยกเว้นผ้าทอ) ที่ทำจากไฟเบอร์กลาส (ใยแก้ว) รวมถึงใยแก้ว/ปุยแก้ว</t>
  </si>
  <si>
    <t>บริการรับจ้างเหมาที่เป็นส่วนหนึ่งของการผลิตไฟเบอร์กลาส</t>
  </si>
  <si>
    <t>ผลิตภัณฑ์แก้วอื่นๆ</t>
  </si>
  <si>
    <t>แก้วอื่นๆ กึ่งสำเร็จรูป</t>
  </si>
  <si>
    <t>แก้วที่เป็นก้อน เป็นลูกกลม (ยกเว้นลูกกลมขนาดเล็กที่มีเส้นผ่าศูนย์กลางไม่เกิน 1 มิลลิเมตร) เป็นเส้น เป็นหลอดหรือท่อ ที่ยังไม่ได้ตกแต่ง</t>
  </si>
  <si>
    <t>บล็อกปูพื้น แผ่นหนา อิฐ แผ่นสี่เหลี่ยมจัตุรัส กระเบื้อง และของอื่นๆ ที่ทำจากแก้วอัดหรือแก้วหล่อ แผ่นแก้วที่มีตะกั่วเป็นขอบ (เลดเต็ด-ไลต์) รวมถึงแก้วชนิดมัลติเซลลูลาร์หรือชนิดโฟมที่เป็นบล็อก แผ่น หรือลักษณะที่คล้ายกัน</t>
  </si>
  <si>
    <t>แก้วที่ใช้ในทางเทคนิคและแก้วอื่นๆ</t>
  </si>
  <si>
    <t>กระเปาะแก้ว (รวมถึงที่เป็นรูปกลมและเป็นหลอด) ที่มีปลายเปิด และส่วนประกอบของกระเปาะดังกล่าวที่ทำจากแก้ว ไม่มีอุปกรณ์ติดตั้ง (ฟิตติ้ง) สำหรับใช้ทำหลอดไฟฟ้า หลอดแคโทดเรย์ หรือหลอดที่คล้ายกัน</t>
  </si>
  <si>
    <t>กระจกนาฬิกาชนิดคล็อกหรือชนิดวอตซ์ และกระจกที่คล้ายกัน กระจกแว่นตาชนิดธรรมดาหรือชนิดปรับสายตา ที่โค้งงอ กลวง หรือที่คล้ายกัน ไม่ได้ตกแต่งเพื่อใช้งานทางทัศนศาสตร์  รวมถึงแก้วทรงกลมกลวงและเซกเมนต์ของแก้วทรงกลมกลวง สำหรับใช้ในการผลิตกระจกดังกล่าว</t>
  </si>
  <si>
    <t>เครื่องแก้วที่ใช้ตามห้องปฏิบัติการ ในทางอนามัยหรือทางเภสัชกรรม รวมถึงแอมพลู ที่ทำจากแก้ว</t>
  </si>
  <si>
    <t>ส่วนประกอบเครื่องประทีปโคมไฟ เครื่องหมายที่มีแสงสว่าง ป้ายชื่อที่มีแสงสว่าง และของที่คล้ายกัน ที่ทำจากแก้ว</t>
  </si>
  <si>
    <t>ฉนวนไฟฟ้า ที่ทำจากแก้ว</t>
  </si>
  <si>
    <t>สิ่งของอื่นๆ ที่ทำจากแก้ว ซึ่งมิได้จัดประเภทไว้ในที่อื่น</t>
  </si>
  <si>
    <t>บริการแต่งสำเร็จแก้วอื่นๆ และบริการรับจ้างเหมาที่เป็นส่วนหนึ่งของการผลิตผลิตภัณฑ์แก้วอื่นๆ</t>
  </si>
  <si>
    <t>บริการแต่งสำเร็จแก้วอื่นๆ</t>
  </si>
  <si>
    <t>ผลิตภัณฑ์อื่นๆ ที่ทำจากแร่อโลหะ ซึ่งมิได้จัดประเภทไว้ในที่อื่น</t>
  </si>
  <si>
    <t>ผลิตภัณฑ์วัสดุทนไฟ</t>
  </si>
  <si>
    <t>อิฐ บล็อก กระเบื้อง และผลิตภัณฑ์เซรามิกอื่นๆ ที่ทำจากดินซากหอย (เช่น คีเซลกูหร์ ทริโพไลต์ หรือไดอะทอไมต์) หรือที่ทำจากดินทรายที่คล้ายกัน</t>
  </si>
  <si>
    <t>อิฐ บล็อก กระเบื้อง ชนิดทนไฟ และผลิตภัณฑ์เซรามิกทนไฟที่คล้ายกัน สำหรับใช้ในการก่อสร้าง (ยกเว้นของที่ทำจากดินซากหอยหรือดินทรายที่คล้ายกัน)</t>
  </si>
  <si>
    <t xml:space="preserve">ซีเมนต์ มอร์ทาร์ คอนกรีต และของที่มีส่วนผสมคล้ายกันที่ทนไฟ </t>
  </si>
  <si>
    <t>ผลิตภัณฑ์ชนิดทนไฟก่อนเผา และผลิตภัณฑ์เซรามิกชนิดทนไฟอื่นๆ</t>
  </si>
  <si>
    <t>บริการรับจ้างเหมาที่เป็นส่วนหนึ่งของการผลิตผลิตภัณฑ์วัสดุทนไฟ</t>
  </si>
  <si>
    <t>วัสดุก่อสร้างที่ทำจากดินเหนียว</t>
  </si>
  <si>
    <t>อิฐ</t>
  </si>
  <si>
    <t>อิฐชนิดไม่ทนไฟ เช่น อิฐมอญ อิฐก่อสร้าง เป็นต้น</t>
  </si>
  <si>
    <t>บริการรับจ้างเหมาที่เป็นส่วนหนึ่งของการผลิตอิฐ</t>
  </si>
  <si>
    <t>กระเบื้องปูพื้นและแผ่นเซรามิก</t>
  </si>
  <si>
    <t>กระเบื้องปูพื้นและทางเดิน กระเบื้องปูพื้นเตาหรือติดผนัง แผ่นเซรามิก หินโมเสก กระเบื้องโมเสก และของที่คล้ายกัน ที่เป็นเซรามิกจะมีสิ่งรองรับหรือไม่ก็ตาม</t>
  </si>
  <si>
    <t>บริการรับจ้างเหมาที่เป็นส่วนหนึ่งของการผลิตกระเบื้องปูพื้นและแผ่นเซรามิก</t>
  </si>
  <si>
    <t>เครื่องสุขภัณฑ์เซรามิก</t>
  </si>
  <si>
    <t>อ่างล้างชาม อ่างล้างหน้า ฐานตั้งอ่างล้างหน้า อ่างอาบน้ำ บิเด โถส้วม โถชักโครก โถปัสสาวะ และเครื่องสุขภัณฑ์ติดตั้งถาวรที่คล้ายกัน ที่เป็นเซรามิก</t>
  </si>
  <si>
    <t>บริการรับจ้างเหมาที่เป็นส่วนหนึ่งของการผลิตเครื่องสุขภัณฑ์เซรามิก</t>
  </si>
  <si>
    <t>วัสดุก่อสร้างอื่นๆ ที่ทำจากดินเหนียว</t>
  </si>
  <si>
    <t>บล็อกปูพื้น กระเบื้องที่ใช้รองหรือใช้เสริม ที่เป็นเซรามิก และของที่คล้ายกัน</t>
  </si>
  <si>
    <t>กระเบื้องมุงหลังคา ท่อยอดปล่องไฟ บัวยอดปล่องไฟ สิ่งบุปล่องไฟ สิ่งประดับทางสถาปัตยกรรม และผลิตภัณฑ์เซรามิกอื่นๆ สำหรับใช้ในการก่อสร้าง</t>
  </si>
  <si>
    <t>หลอดหรือท่อ ท่อนำ ราง และอุปกรณ์ติดตั้งสำหรับหลอดหรือท่อ ที่เป็นเซรามิก</t>
  </si>
  <si>
    <t>บริการรับจ้างเหมาที่เป็นส่วนหนึ่งของการผลิตวัสดุก่อสร้างอื่นๆ ที่ทำจากดินเหนียว</t>
  </si>
  <si>
    <t>ผลิตภัณฑ์เซรามิกชนิดพอร์ชเลนและผลิตภัณฑ์เซรามิกอื่นๆ</t>
  </si>
  <si>
    <t>ผลิตภัณฑ์เครื่องใช้บนโต๊ะอาหารที่ทำจากเซรามิก</t>
  </si>
  <si>
    <t>ผลิตภัณฑ์เครื่องใช้บนโต๊อาหาร เครื่องครัว ของใช้ในห้องน้ำ ที่ทำจากเซรามิก</t>
  </si>
  <si>
    <t>ผลิตภัณฑ์เครื่องใช้บนโต๊ะอาหาร เครื่องครัว ของใช้ในห้องน้ำ ที่ทำจากเซรามิก ชนิดพอร์ชเลนหรือชนิดเนื้อละเอียด (ไชน่า)</t>
  </si>
  <si>
    <t>ผลิตภัณฑ์เครื่องใช้บนโต๊อาหาร เครื่องครัว ของใช้ในห้องน้ำ ที่ทำจากเซรามิก ชนิดอื่นๆ (ยกเว้นชนิดพอร์ชเลนหรือชนิดเนื้อละเอียด (ไชน่า))</t>
  </si>
  <si>
    <t>บริการรับจ้างเหมาที่เป็นส่วนหนึ่งของการผลิตผลิตภัณฑ์เครื่องใช้บนโต๊ะอาหาร ที่ทำจากเซรามิก</t>
  </si>
  <si>
    <t>ผลิตภัณฑ์ประติมากรรมและของประดับตกแต่งที่ทำจากเซรามิก</t>
  </si>
  <si>
    <t>ผลิตภัณฑ์ประติมากรรมและของประดับตกแต่ง ที่ทำจากเซรามิก</t>
  </si>
  <si>
    <t>บริการรับจ้างเหมาที่เป็นส่วนหนึ่งของการผลิตผลิตภัณฑ์ประติมากรรมและของประดับตกแต่ง ที่ทำจากเซรามิก</t>
  </si>
  <si>
    <t>ฉนวนไฟฟ้าและอุปกรณ์ติดตั้งซึ่งใช้เป็นฉนวนที่ทำจากเซรามิก</t>
  </si>
  <si>
    <t>ฉนวนไฟฟ้าและอุปกรณ์ติดตั้งซึ่งใช้เป็นฉนวน ที่ทำจากเซรามิก</t>
  </si>
  <si>
    <t>บริการรับจ้างเหมาที่เป็นส่วนหนึ่งของการผลิตฉนวนไฟฟ้าและอุปกรณ์ติดตั้งซึ่งใช้เป็นฉนวน ที่ทำจากเซรามิก</t>
  </si>
  <si>
    <t>ผลิตภัณฑ์เซรามิกชนิดพอร์ชเลนและผลิตภัณฑ์เซรามิกอื่นๆ ซึ่งมิได้จัดประเภทไว้ในที่อื่น</t>
  </si>
  <si>
    <t>ผลิตภัณฑ์เซรามิก ที่ใช้ในทางเทคนิคอื่นๆ</t>
  </si>
  <si>
    <t>ผลิตภัณฑ์เซรามิกสำหรับใช้ตามห้องปฏิบัติการ ใช้ในทางเคมี หรือใช้ในทางเทคนิคอื่นๆ</t>
  </si>
  <si>
    <t>แม่เหล็กถาวรและของที่เจตนาให้เป็นแม่เหล็กถาวรหลังจากผ่านการทำให้เป็นแม่เหล็ก ที่ทำจากเซรามิก</t>
  </si>
  <si>
    <t>ผลิตภัณฑ์เซรามิกอื่นๆ ซึ่งมิได้จัดประเภทไว้ในที่อื่น</t>
  </si>
  <si>
    <t>อ่างและภาชนะรองรับที่คล้ายกัน ชนิดที่ใช้ในทางเกษตรกรรม รวมถึงหม้อ กระปุก และของที่คล้ายกัน ชนิดที่ใช้สำหรับลำเลียงหรือบรรจุของที่เป็นเซรามิก</t>
  </si>
  <si>
    <t>เฟอร์นิเจอร์เซรามิก</t>
  </si>
  <si>
    <t>บริการรับจ้างเหมาที่เป็นส่วนหนึ่งของ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</si>
  <si>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ปูนซีเมนต์ ปูนไลม์ (ปูนขาว) และปูนปลาสเตอร์</t>
  </si>
  <si>
    <t>ปูนซีเมนต์</t>
  </si>
  <si>
    <t>ซีเมนต์เม็ด</t>
  </si>
  <si>
    <t>พอร์ตแลนด์ซีเมนต์ อะลูมินัสซีเมนต์ สแลกซีเมนต์ ซูเปอร์ซัลเฟตซีเมนต์ และไฮดรอลิกซีเมนต์ที่คล้ายกัน จะแต่งสีหรือไม่ก็ตาม</t>
  </si>
  <si>
    <t>บริการรับจ้างเหมาที่เป็นส่วนหนึ่งของการผลิตปูนซีเมนต์</t>
  </si>
  <si>
    <t>ปูนไลม์ (ปูนขาว) และปูนปลาสเตอร์</t>
  </si>
  <si>
    <t xml:space="preserve">ควิกไลม์ สเลกไลม์ และไฮดรอลิกไลม์ </t>
  </si>
  <si>
    <t>ปลาสเตอร์</t>
  </si>
  <si>
    <t>โดโลไมต์ที่ผ่านการเผาโดยวิธีคาลซีเนชันหรือไม่ได้ผ่านการเผาแบบ ซินเตอร์ และโดโลไมต์แรมมิงมิกซ์</t>
  </si>
  <si>
    <t>บริการรับจ้างเหมาที่เป็นส่วนหนึ่งของการผลิตปูนไลม์ (ปูนขาว) และปูนปลาสเตอร์</t>
  </si>
  <si>
    <t>ผลิตภัณฑ์คอนกรีต ปูนซีเมนต์ และปูนปลาสเตอร์</t>
  </si>
  <si>
    <t>ผลิตภัณฑ์คอนกรีตที่ใช้ในงานก่อสร้าง</t>
  </si>
  <si>
    <t>กระเบื้อง หินปูพื้น อิฐ และของที่คล้ายกัน ที่ทำจากซีเมนต์ คอนกรีต หรือหินเทียม</t>
  </si>
  <si>
    <t>องค์ประกอบของสิ่งก่อสร้างสำเร็จรูปใช้ในการก่อสร้างหรือวิศวกรรมโยธา ที่ทำจากซีเมนต์ คอนกรีต หรือหินเทียม</t>
  </si>
  <si>
    <t>อาคารสำเร็จรูป ที่ทำจากคอนกรีต</t>
  </si>
  <si>
    <t>บริการรับจ้างเหมาที่เป็นส่วนหนึ่งของการผลิตผลิตภัณฑ์คอนกรีตที่ใช้ในงานก่อสร้าง</t>
  </si>
  <si>
    <t>ผลิตภัณฑ์ปูนปลาสเตอร์ที่ใช้ในงานก่อสร้าง</t>
  </si>
  <si>
    <t>แผ่น แผ่นบาง แผง กระเบื้อง และของที่คล้ายกัน ที่ไม่ได้ตกแต่ง ที่ทำจากปูนปลาสเตอร์หรือที่มีส่วนผสมของปลาสเตอร์เป็นหลัก</t>
  </si>
  <si>
    <t>บริการรับจ้างเหมาที่เป็นส่วนหนึ่งของการผลิตผลิตภัณฑ์ปูนปลาสเตอร์ที่ใช้ในงานก่อสร้าง</t>
  </si>
  <si>
    <t>คอนกรีตผสมเสร็จ</t>
  </si>
  <si>
    <t>มอร์ทาร์</t>
  </si>
  <si>
    <t>บริการรับจ้างเหมาที่เป็นส่วนหนึ่งของการผลิตคอนกรีตผสมเสร็จ</t>
  </si>
  <si>
    <t>ผลิตภัณฑ์ไฟเบอร์ซีเมนต์</t>
  </si>
  <si>
    <t>แผง แผ่น กระเบื้อง ก้อนเหลี่ยม และของที่คล้ายกัน ที่ทำจากเส้นใยพืช ฟาง หรือทำจากขี้กบ ชิ้นไม้ สะเก็ดไม้ ขี้เลื่อย หรือเศษไม้อื่นๆ เกาะหรือติดรวมกันด้วยซีเมนต์ ปลาสเตอร์ หรือสารยึดจำพวกแร่อื่นๆ</t>
  </si>
  <si>
    <t>ผลิตภัณฑ์ที่ทำจากแอสเบสทอสซีเมนต์ เซลลูโลสไฟเบอร์ซีเมนต์ หรือทำจากของที่คล้ายกัน</t>
  </si>
  <si>
    <t>บริการรับจ้างเหมาที่เป็นส่วนหนึ่งของการผลิตผลิตภัณฑ์ไฟเบอร์ซีเมนต์</t>
  </si>
  <si>
    <t>ผลิตภัณฑ์อื่นๆ ที่ทำจากคอนกรีต ปูนซีเมนต์ และปูนปลาสเตอร์</t>
  </si>
  <si>
    <t>แบบหล่อ/แบบพิมพ์ตุ๊กตาปูนและผลิตภัณฑ์อื่นๆ ที่ทำจากปลาสเตอร์หรือมีส่วนผสมของปลาสเตอร์เป็นหลัก</t>
  </si>
  <si>
    <t>ผลิตภัณฑ์อื่นๆ ที่ทำจากคอนกรีต ซีเมนต์ หรือหินเทียม ซึ่งมิได้จัดประเภทไว้ในที่อื่น เช่น รูปปั้น/รูปหล่อ เฟอร์นิเจอร์ แจกัน เป็นต้น</t>
  </si>
  <si>
    <t>บริการรับจ้างเหมาที่เป็นส่วนหนึ่งของการผลิตผลิตภัณฑ์อื่นๆ ที่ทำจากคอนกรีต ปูนซีเมนต์ และปูนปลาสเตอร์</t>
  </si>
  <si>
    <t>ผลิตภัณฑ์ที่ได้จากการตัด ขึ้นรูป และแต่งสำเร็จหิน</t>
  </si>
  <si>
    <t>ผลิตภัณฑ์หินที่ใช้ในการก่อสร้าง</t>
  </si>
  <si>
    <t>หินอ่อน ทราเวอร์ทีน อะลาบาสเดอร์ และหินอื่นๆ ที่ใช้ทำอนุสาวรีย์หรือก่อสร้างเพียงแต่ตัดหรือเลื่อย มีผิวราบหรือเรียบ</t>
  </si>
  <si>
    <t>หินอ่อน ทราเวอร์ทีน อะลาบาสเดอร์ หินแกรนิต และหินอื่นๆ ที่ใช้ทำอนุสาวรีย์หรือก่อสร้าง ที่จัดทำแล้ว รวมถึงเม็ด ชิ้น และผงที่แต่งสีแล้วของหินธรรมชาติ</t>
  </si>
  <si>
    <t>บริการรับจ้างเหมาที่เป็นส่วนหนึ่งของการผลิตผลิตภัณฑ์หินที่ใช้ในการก่อสร้าง</t>
  </si>
  <si>
    <t>ผลิตภัณฑ์อื่นๆ ที่ทำจากหิน</t>
  </si>
  <si>
    <t>เฟอร์นิเจอร์หิน</t>
  </si>
  <si>
    <t>ผลิตภัณฑ์อื่นๆ ที่ทำจากหิน ซึ่งมิได้จัดประเภทไว้ในที่อื่น</t>
  </si>
  <si>
    <t>บริการรับจ้างเหมาที่เป็นส่วนหนึ่งของการผลิตผลิตภัณฑ์อื่นๆ ที่ทำจากหิน</t>
  </si>
  <si>
    <t>ผลิตภัณฑ์ขัดถู</t>
  </si>
  <si>
    <t>หินโม่ หินบด จานเจียระไน และของที่คล้ายกัน ไม่มีโครงใช้สำหรับบด ลับ ขัด แต่งให้ได้ขนาดหรือตัดหินลับหรือหินขัดที่ใช้ด้วยมือ และส่วนประกอบของของดังกล่าวทำจากหินธรรมชาติ วัตถุขัดถูธรรมชาติอัดหรือวัตถุขัดถูเทียมอัด หรือทำจากเซรามิก มีหรือไม่มีส่วนประกอบที่ทำจากวัตถุอื่น</t>
  </si>
  <si>
    <t>ผงขัดถูหรือเม็ดขัดถู ธรรมชาติหรือเทียม ติดบนแผ่นรองรับ ที่ทำจากวัตถุทอ กระดาษ กระดาษแข็ง หรือวัตถุอื่นๆ จะตัดให้เป็นรูปทรง เย็บ หรือจัดทำอย่างอื่นหรือไม่ก็ตาม</t>
  </si>
  <si>
    <t>บริการรับจ้างเหมาที่เป็นส่วนหนึ่งของการผลิตผลิตภัณฑ์ขัดถู</t>
  </si>
  <si>
    <t>วัสดุที่เป็นฉนวนจากแร่</t>
  </si>
  <si>
    <t>ใยขี้แร่ ใยหิน และใยแร่ที่คล้ายกัน รวมถึงเอกซ์โฟลีเอตเต็ดเวอร์-มิคิวไลต์ เอกซ์แปนเต็ดเคลย์ โฟมสแลก และวัตถุจำพวกแร่ชนิดเอกซ์แปนเต็ดที่คล้ายกัน ของผสมและของที่ทำจากวัตถุจำพวกแร่ซึ่งเป็นฉนวนกันความร้อน ฉนวนกันเสียงหรือเป็นตัวดูดกลืนเสียง</t>
  </si>
  <si>
    <t>บริการรับจ้างเหมาที่เป็นส่วนหนึ่งของการผลิตวัสดุที่เป็นฉนวนจากแร่</t>
  </si>
  <si>
    <t>เส้นใยแอสเบสทอสที่จัดทำแล้ว ของผสมที่มีแอสเบสทอสเป็นหลัก หรือมีแอสเบสทอสกับแมกนีเซียมคาร์บอเนตเป็นหลัก รวมถึงวัตถุเสียดทาน ที่ยังไม่ได้ติดตั้ง สำหรับใช้กับเบรก คลัช หรือของที่คล้ายกัน</t>
  </si>
  <si>
    <t>ผลิตภัณฑ์ที่ทำจากแอสฟัลต์หรือทำจากวัตถุที่คล้ายกัน เช่น ปิโตรเลียมบิทูเมนหรือโคลทาร์พิตซ์</t>
  </si>
  <si>
    <t>ของผสมบิทูมินัส ซึ่งมีแอสฟัลต์ธรรมชาติ บิทูเมนธรรมชาติ ปิโตรเลียมบิทูเมน ทาร์ที่ได้จากแร่ หรือมีทาร์พิตช์ที่ได้จากแร่ เป็นหลัก รวมถึงแมกคาดัมคลุกน้ำมันดิน</t>
  </si>
  <si>
    <t>กราไฟต์เทียม กราไฟต์ชนิดคอลลอยด์หรือกึ่งคอลลอยด์ สิ่งปรุงแต่งที่มีกราไฟต์หรือคาร์บอนอื่นๆ เป็นหลัก ในลักษณะเป็นเพสต์ เป็นก้อนเหลี่ยม เป็นแผ่น หรือลักษณะกึ่งสำเร็จรูปอื่นๆ</t>
  </si>
  <si>
    <t xml:space="preserve">คอรันดัมประดิษฐ์ </t>
  </si>
  <si>
    <t>ผลิตภัณฑ์แร่อโลหะ ซึ่งมิได้จัดประเภทไว้ในที่อื่น</t>
  </si>
  <si>
    <t>บริการรับจ้างเหมาที่เป็นส่วนหนึ่งของการผลิตผลิตภัณฑ์อื่นๆ ที่ทำจากแร่อโลหะ ซึ่งมิได้จัดประเภทไว้ในที่อื่น</t>
  </si>
  <si>
    <t>โลหะขั้นมูลฐาน</t>
  </si>
  <si>
    <t>เหล็กและเหล็กกล้าขั้นมูลฐาน</t>
  </si>
  <si>
    <t>เหล็กและเหล็กกล้าขั้นมูลฐานในขั้นต้นและขั้นกลาง</t>
  </si>
  <si>
    <t>เหล็กและเหล็กกล้าขั้นมูลฐานในขั้นต้น</t>
  </si>
  <si>
    <t>เหล็กถลุงและเหล็กสปิเกล เป็นแท่งถลุง ก้อนเหลี่ยม หรือลักษณะขั้นปฐมอื่นๆ</t>
  </si>
  <si>
    <t>โลหะผสม/โลหะเจือ</t>
  </si>
  <si>
    <t>ผลิตภัณฑ์จำพวกเหล็กที่ได้จากสินแร่เหล็ก โดยวิธีไดเร็กรีดักชัน และผลิตภัณฑ์จำพวกเหล็กอื่นๆ ที่มีเนื้อพรุน เป็นก้อน เป็นเพลเลต หรือลักษณะที่คล้ายกัน  รวมถึงเหล็กที่มีความบริสุทธิ์อย่างน้อยร้อยละ 99.94 โดยน้ำหนัก เป็นก้อน เป็นเพลเลต หรือลักษณะที่คล้ายกัน</t>
  </si>
  <si>
    <t>เม็ดและผง ของเหล็กถลุง เหล็กสปิเกล เหล็กและเหล็กกล้า รวมถึง อินกอตที่หลอมจากของที่ใช้ไม่ได้ ที่เป็นเหล็กหรือเหล็กกล้า</t>
  </si>
  <si>
    <t>เหล็กกล้าดิบ</t>
  </si>
  <si>
    <t>เหล็กและเหล็กกล้าไม่เจือ เป็นอินกอตหรือมีลักษณะขั้นปฐมอื่นๆ และผลิตภัณฑ์กึ่งสำเร็จรูป ที่ทำจากเหล็กหรือเหล็กกล้าไม่เจือ</t>
  </si>
  <si>
    <t>เหล็กกล้าไม่เป็นสนิม ที่เป็นอินกอตหรือมีลัษณะขั้นปฐมอื่นๆ รวมถึงผลิตภัณฑ์กึ่งสำเร็จรูปที่ทำจากเหล็กกล้าไม่เป็นสนิม</t>
  </si>
  <si>
    <t>เหล็กกล้าเจืออื่นๆ ที่เป็นอินกอตหรือมีลักษณะขั้นปฐมอื่นๆ รวมถึงผลิตภัณฑ์กึ่งสำเร็จรูปที่ทำจากเหล็กกล้าเจืออื่นๆ</t>
  </si>
  <si>
    <t>บริการรับจ้างเหมาที่เป็นส่วนหนึ่งของการผลิตเหล็กและเหล็กกล้า ขั้นมูลฐานในขั้นต้นและขั้นกลาง</t>
  </si>
  <si>
    <t>เหล็กและเหล็กกล้าแผ่น</t>
  </si>
  <si>
    <t>ผลิตภัณฑ์แผ่นรีด ทำจากเหล็กหรือเหล็กกล้า ที่ได้จากการรีดร้อน</t>
  </si>
  <si>
    <t>ผลิตภัณฑ์แผ่นรีด ทำจากเหล็กหรือเหล็กกล้าไม่เจือ ที่ได้จากการรีดร้อน ไม่หุ้มติด ไม่ชุบ หรือไม่เคลือบ มีความกว้างตั้งแต่ 600 มิลลิเมตรขึ้นไป</t>
  </si>
  <si>
    <t>ผลิตภัณฑ์แผ่นรีด ทำจากเหล็กหรือเหล็กกล้าไม่เจือ ที่ได้จากการรีดร้อน ไม่หุ้มติด ไม่ชุบ หรือไม่เคลือบ มีความกว้างน้อยกว่า 600 มิลลิเมตร</t>
  </si>
  <si>
    <t>ผลิตภัณฑ์แผ่นรีด ทำจากเหล็กกล้าไม่เป็นสนิม ที่ได้จากการรีดร้อน เป็นม้วนหรือไม่ก็ตาม มีความกว้างตั้งแต่ 600 มิลลิเมตรขึ้นไป</t>
  </si>
  <si>
    <t>ผลิตภัณฑ์แผ่นรีด ทำจากเหล็กกล้าไม่เป็นสนิม ที่ได้จากการรีดร้อน มีความกว้างน้อยกว่า 600 มิลลิเมตร</t>
  </si>
  <si>
    <t>ผลิตภัณฑ์แผ่นรีด ทำจากเหล็กกล้าเจืออื่นๆ ที่ได้จากการรีดร้อน เป็นม้วนหรือไม่ก็ตาม มีความกว้างตั้งแต่ 600 มิลลิเมตรขึ้นไป</t>
  </si>
  <si>
    <t>ผลิตภัณฑ์แผ่นรีด ทำจากเหล็กกล้าเจืออื่นๆ (ยกเว้นเหล็กกล้าซิลิคอน-อิเล็กทริกและเหล็กกล้ารอบสูง) ที่ได้จากการรีดร้อน มีความกว้างน้อยกว่า 600 มิลลิเมตร</t>
  </si>
  <si>
    <t>ผลิตภัณฑ์แผ่นรีด ทำจากเหล็กหรือเหล็กกล้า ที่ได้จากการรีดเย็น มีความกว้างตั้งแต่ 600 มิลลิเมตรขึ้นไป</t>
  </si>
  <si>
    <t>ผลิตภัณฑ์แผ่นรีด ทำจากเหล็กหรือเหล็กกล้าไม่เจือ ที่ได้จากการรีดเย็น ไม่หุ้มติด ไม่ชุบ หรือไม่เคลือบ มีความกว้างตั้งแต่ 600 มิลลิเมตรขึ้นไป</t>
  </si>
  <si>
    <t>ผลิตภัณฑ์แผ่นรีด ทำจากเหล็กกล้าไม่เป็นสนิม ที่ได้จากการรีดเย็น มีความกว้างตั้งแต่ 600 มิลลิเมตรขึ้นไป</t>
  </si>
  <si>
    <t>ผลิตภัณฑ์แผ่นรีด ทำจากเหล็กกล้าเจืออื่นๆ ที่ได้จากการรีดเย็น มีความกว้างตั้งแต่ 600 มิลลิเมตรขึ้นไป</t>
  </si>
  <si>
    <t>ผลิตภัณฑ์แผ่นรีด ทำจากเหล็กหรือเหล็กกล้า หุ้มติด ชุบ หรือเคลือบ และผลิตภัณฑ์แผ่นรีด ทำจากเหล็กกล้ารอบสูงและเหล็กกล้าซิลิคอน-อิเล็กทริก</t>
  </si>
  <si>
    <t>ผลิตภัณฑ์แผ่นรีด ทำจากเหล็กหรือเหล็กกล้าไม่เจือ หุ้มติด ชุบ หรือเคลือบ มีความกว้างตั้งแต่ 600 มิลลิเมตรขึ้นไป</t>
  </si>
  <si>
    <t>ผลิตภัณฑ์แผ่นรีด ทำจากเหล็กกล้าเจืออื่นๆ ชุบหรือเคลือบด้วยสังกะสี โดยวิธีใช้ไฟฟ้าหรือวิธีอื่น มีความกว้างตั้งแต่ 600 มิลลิเมตรขึ้นไป</t>
  </si>
  <si>
    <t>ผลิตภัณฑ์แผ่นรีด ทำจากเหล็กกล้าซิลิคอนอิเล็กทริก มีความกว้างตั้งแต่ 600 มิลิเมตรขึ้นไป</t>
  </si>
  <si>
    <t>ผลิตภัณฑ์แผ่นรีด ทำจากเหล็กกล้าซิลิคอนอิเล็กทริก มีความกว้างน้อยกว่า 600 มิลิเมตร</t>
  </si>
  <si>
    <t>ผลิตภัณฑ์แผ่นรีด ทำจากเหล็กกล้ารอบสูง มีความกว้างน้อยกว่า 600 มิลลิเมตร</t>
  </si>
  <si>
    <t>ผลิตภัณฑ์แผ่นรีด ทำจากเหล็กหรือเหล็กกล้า ที่ได้จากการรีดเย็น ที่ไม่เคลือบ มีความกว้างน้อยกว่า 600 มิลลิเมตร</t>
  </si>
  <si>
    <t>ผลิตภัณฑ์แผ่นรีด ทำจากเหล็กหรือเหล็กกล้าไม่เจือ หุ้มติด ชุบ หรือเคลือบ มีความกว้างน้อยกว่า 600 มิลลิเมตร</t>
  </si>
  <si>
    <t>บริการรับจ้างเหมาที่เป็นส่วนหนึ่งของการผลิตเหล็กและเหล็กกล้าแผ่น</t>
  </si>
  <si>
    <t>หลอด ท่อ โฟรไฟล์กลวง และอุปกรณ์ติดตั้งที่เกี่ยวข้อง ที่ทำจากเหล็กกล้า</t>
  </si>
  <si>
    <t>หลอด ท่อ โพรไฟล์กลวง ไร้ตะเข็บ ทำจากเหล็กหรือเหล็กกล้า</t>
  </si>
  <si>
    <t>ท่อที่ใช้เป็นท่อส่งน้ำมันหรือก๊าซ</t>
  </si>
  <si>
    <t xml:space="preserve">ท่อผนังบ่อ (เคสซิง) หลอดและท่อเจาะชนิดที่ใช้ในการเจาะน้ำมันหรือก๊าซ </t>
  </si>
  <si>
    <t xml:space="preserve">หลอดและท่ออื่นๆ ที่มีภาคตัดขวางเป็นวงกลม </t>
  </si>
  <si>
    <t>หลอด ท่อ และโพรไฟล์กลวงอื่นๆ ที่มีภาคตัดขวางไม่เป็นวงกลม</t>
  </si>
  <si>
    <t>หลอดหรือท่ออื่นๆ (เช่น ชนิดเชื่อมตะเข็บ ย้ำหมุด หรือติดตะเข็บในลักษณะที่คล้ายกัน) ที่มีภาคตัดขวางเป็นวงกลม เส้นผ่าศูนย์กลางรอบนอกเกิน 406.4 มิลลิเมตร ทำจากเหล็กหรือเหล็กกล้า</t>
  </si>
  <si>
    <t xml:space="preserve">ท่อที่ใช้เป็นท่อส่งน้ำมันหรือก๊าซ </t>
  </si>
  <si>
    <t>ท่อผนังบ่อ (เคสซิง) ชนิดที่ใช้ในการเจาะน้ำมันหรือก๊าซ ชนิดเชื่อมตะเข็บ</t>
  </si>
  <si>
    <t xml:space="preserve">หลอดและท่ออื่นๆ ชนิดเชื่อมตะเข็บ </t>
  </si>
  <si>
    <t xml:space="preserve">หลอดและท่ออื่นๆ ชนิดย้ำหมุดหรือติดตะเข็บในลักษณะที่คล้ายกัน </t>
  </si>
  <si>
    <t>หลอดหรือท่อ และโพรไฟล์กลวงอื่นๆ (เช่น ชนิดตะเข็บเปิดหรือเชื่อมตะเข็บ ย้ำหมุดหรือติดตะเข็บ ในลักษณะที่คล้ายกัน) ที่มีเส้นผ่าศูนย์กลางรอบนอกน้อยกว่า 406.4 มิลลิเมตร ทำจากเหล็กหรือเหล็กกล้า</t>
  </si>
  <si>
    <t xml:space="preserve">ท่อผนังบ่อ (เคสซิง) และหลอด ชนิดที่ใช้ในการเจาะน้ำมันหรือก๊าซ </t>
  </si>
  <si>
    <t xml:space="preserve">หลอดและท่ออื่นๆ ชนิดเชื่อมตะเข็บ มีภาคตัดขวางเป็นวงกลม </t>
  </si>
  <si>
    <t xml:space="preserve">หลอดและท่ออื่นๆ ชนิดเชื่อมตะเข็บ มีภาคตัดขวางไม่เป็นวงกลม </t>
  </si>
  <si>
    <t xml:space="preserve">หลอดและท่ออื่นๆ ชนิดตะเข็บเปิดหรือแบบบันดี ย้ำหมุด หรือติดตะเข็บในลักษณะที่คล้ายกัน </t>
  </si>
  <si>
    <t>อุปกรณ์ติดตั้งของหลอดหรือท่อ (เช่น หน้าแปลน ข้องอและปลอกเลื่อนที่มีเกลียวนอก อุปกรณ์ติดตั้งสำหรับการเชื่อมชน) ที่ทำจากเหล็กหรือเหล็กกล้า ที่ไม่ได้จากการหล่อ</t>
  </si>
  <si>
    <t>บริการรับจ้างเหมาที่เป็นส่วนหนึ่งของการผลิตหลอด ท่อ โพรไฟล์กลวง และอุปกรณ์ติดตั้งที่เกี่ยวข้อง ที่ทำจากเหล็กกล้า</t>
  </si>
  <si>
    <t>เหล็กและเหล็กกล้าขั้นมูลฐานอื่นๆ</t>
  </si>
  <si>
    <t>ท่อนและเส้น ที่ได้จากการรีดร้อน ทำจากเหล็กและเหล็กกล้า</t>
  </si>
  <si>
    <t>ท่อนและเส้น ที่ได้จากการรีดร้อน ขดเป็นม้วนอย่างไม่เป็นระเบียบ ทำจากเหล็กหรือเหล็กกล้าไม่เจือ</t>
  </si>
  <si>
    <t>ท่อนและเส้นอื่นๆ ทำจากเหล็กหรือเหล็กกล้าไม่เจือ ที่ไม่ได้ทำมากไปกว่าตี รีดร้อน ดึงร้อน หรืออัดรีดร้อน แต่รวมถึงของดังกล่าวที่บิดตัวหลังจากการรีด</t>
  </si>
  <si>
    <t>ท่อนและเส้น ที่ได้จากการรีดร้อน ขดเป็นม้วนอย่างไม่เป็นระเบียบ ทำจากเหล็กกล้าไม่เป็นสนิม</t>
  </si>
  <si>
    <t>ท่อนและเส้นอื่นๆ ทำจากเหล็กกล้าไม่เป็นสนิม ที่ไม่ได้ทำมากไปกว่าตี รีดร้อน ดึงร้อน หรืออัดรีดร้อน แต่รวมถึงของดังกล่าวที่บิดตัวหลังจากการรีด</t>
  </si>
  <si>
    <t>ท่อนและเส้น ที่ได้จากการรีดร้อน ขดเป็นม้วนอย่างไม่เป็นระเบียบ ทำจากเหล็กกล้าเจืออื่นๆ</t>
  </si>
  <si>
    <t>ท่อนและเส้นอื่นๆ ทำจากเหล็กกล้าเจืออื่นๆ ที่ไม่ได้ทำมากไปกว่าตี  รีดร้อน ดึงร้อน หรืออัดรีดร้อน แต่รวมถึงของดังกล่าวที่บิดตัวหลังจากการรีด</t>
  </si>
  <si>
    <t>ท่อนกลวงและเส้นกลวงที่ใช้ในการเจาะ ทำจากเหล็กกล้าเจือหรือไม่ก็ตาม</t>
  </si>
  <si>
    <t>เหล็กกล้าหน้าตัดเปิดโดยกรรมการวิธีรีดร้อน เหล็กเข็มพืดที่ทำจากเหล็กกล้า และวัตถุก่อสร้างรางรถไฟหรือรางรถราง ทำจากเหล็กและเหล็กกล้า</t>
  </si>
  <si>
    <t>หน้าตัดรูป U, I, H, L หรือ T รวมถึงมุม รูปทรง และหน้าตัดรูปต่างๆ อย่างอื่น ไม่ได้ทำมากไปกว่ารีดร้อน ดึงร้อน หรืออัดรีด ทำจากเหล็กหรือเหล็กกล้าไม่เจือ</t>
  </si>
  <si>
    <t>มุม รูปทรง และหน้าตัดรูปต่างๆ ทำจากเหล็กกล้าไม่เป็นสนิม</t>
  </si>
  <si>
    <t xml:space="preserve">มุม รูปทรง และหน้าตัดรูปต่างๆ ทำจากเหล็กกล้าเจืออื่นๆ </t>
  </si>
  <si>
    <t xml:space="preserve">เหล็กเข็มพืด (ชีตไพลิง) ทำจากเหล็กหรือเหล็กกล้า จะเจาะรู ตอกรู หรือทำโดยการประกอบส่วนต่างๆ เข้าด้วยกันหรือไม่ก็ตาม รวมถึงเหล็กหรือเหล็กกล้าที่เชื่อมให้เป็นมุม เป็นรูปทรง หรือเป็นหน้าตัดรูปต่างๆ </t>
  </si>
  <si>
    <t>วัตถุก่อสร้างรางรถไฟหรือรางรถราง ทำจากเหล็กหรือเหล็กกล้า ราง รางบังคับ และรางที่ติดเฟืองหวี ลิ้นประแจหลีก หัวตะเข้ คันยึดเครื่องประแจและเครื่องสับรางอื่นๆ หมอนหนุนราง เหล็กประกับราง แท่นจับราง ลิ่มยึดแท่นจับราง แผ่นรองราง เหล็กจับฐานราง แผ่นฐาน เหล็กยึดฐาน และวัตถุอื่นที่ใช้เฉพาะสำหรับการต่อหรือยึดราง</t>
  </si>
  <si>
    <t>ท่อนและเส้น ที่ได้จากการดึงเย็น ทำจากเหล็กหรือเหล็กกล้า</t>
  </si>
  <si>
    <t>ท่อนและเส้นอื่นๆ ทำจากเหล็กหรือเหล็กกล้าไม่เจือ ไม่ได้ทำมากไปกว่าขึ้นรูปขณะเย็นหรือตกแต่งขณะเย็น</t>
  </si>
  <si>
    <t>ท่อนและเส้น ที่ได้จากการดึงเย็น ทำจากเหล็กกล้าเจือ (ยกเว้นเหล็กกล้าไม่เป็นสนิม)</t>
  </si>
  <si>
    <t>ท่อนและเส้น ไม่ได้ทำมากไปกว่าขึ้นรูปขณะเย็นหรือตกแต่งขณะเย็น ทำจากเหล็กกล้าไม่เป็นสนิม</t>
  </si>
  <si>
    <t>เหล็กและเหล็กกล้าหน้าตัดเปิด แผ่นเหล็กที่ทำเป็นลอนลูกฟูก และแซนด์วิชพาเนล ที่ได้จากการขึ้นรูปหรือพับขณะเย็น</t>
  </si>
  <si>
    <t>มุม รูปทรง และหน้าตัดรูปต่างๆ ไม่ได้ทำมากไปกว่าขึ้นรูปขณะเย็นหรือตกแต่งขณะเย็น ทำจากเหล็กหรือเหล็กกล้าไม่เจือ (ยกเว้นได้จากผลิตภัณฑ์แผ่นรีด)</t>
  </si>
  <si>
    <t>มุม รูปทรง และหน้าตัดรูปต่างๆ ทำจากเหล็กกล้าเจือ</t>
  </si>
  <si>
    <t>มุม รูปทรง และหน้าตัดรูปต่างๆ ไม่ได้ทำมากไปกว่าขึ้นรูปขณะเย็นหรือตกแต่งขณะเย็น ได้จากผลิตภัณฑ์แผ่นรีด และผลิตภัณฑ์อื่นๆ ที่คล้ายกัน ทำจากเหล็กหรือเหล็กกล้าไม่เจือ ซึ่งมิได้จัดประเภทไว้ในที่อื่น</t>
  </si>
  <si>
    <t>แผ่นเหล็กที่ทำเป็นลอนลูกฟูก โค้ง หรืองอ (ribbed sheet) จากการพับหรือกดประทับ ทำจากเหล็กกล้าไม่เจือ</t>
  </si>
  <si>
    <t>แซนด์วิชพาเนล ทำจากแผ่นเหล็กกล้าที่เคลือบ สำหรับใช้เป็นส่วนประกอบของสิ่งก่อสร้าง</t>
  </si>
  <si>
    <t>ลวดที่ได้จากการดึงเย็น</t>
  </si>
  <si>
    <t>ทำจากเหล็กและเหล็กกล้าไม่เจือ</t>
  </si>
  <si>
    <t>ทำจากเหล็กกล้าไม่เป็นสนิม</t>
  </si>
  <si>
    <t>ทำจากเหล็กกล้าเจืออื่นๆ</t>
  </si>
  <si>
    <t>บริการรับจ้างเหมาที่เป็นส่วนหนึ่งของการผลิตเหล็กและเหล็กกล้า ขั้นมูลฐานอื่นๆ</t>
  </si>
  <si>
    <t>บริการรับจ้างเหมาที่เป็นส่วนหนึ่งของการผลิตเหล็กและเหล็กกล้าขั้นมูลฐาน</t>
  </si>
  <si>
    <t>บริการรับจ้างเหมาที่เป็นส่วนหนึ่งของการผลิตท่อนเหล็กหรือเหล็กกล้า ที่ได้จากการดึงเย็น</t>
  </si>
  <si>
    <t>บริการรับจ้างเหมาที่เป็นส่วนหนึ่งของการผลิตผลิตภัณฑ์ที่ได้จากการขึ้นรูปหรือพับขณะเย็น</t>
  </si>
  <si>
    <t>บริการรับจ้างเหมาที่เป็นส่วนหนึ่งของการผลิตลวด ที่ได้จากการดึงเย็น</t>
  </si>
  <si>
    <t>โลหะมีค่าและโลหะอื่นๆ ที่ไม่ใช่เหล็กขั้นมูลฐาน</t>
  </si>
  <si>
    <t>โลหะมีค่าขั้นมูลฐาน</t>
  </si>
  <si>
    <t>เงิน (รวมถึงเงินชุบด้วยทองคำหรือแพลทินัม) ยังไม่ได้ขึ้นรูป (อันรอต) หรืออยู่ในลักษณะกึ่งสำเร็จรูปหรือเป็นผง</t>
  </si>
  <si>
    <t>ทองคำ (รวมถึงทองคำชุบด้วยแพลทินัม) ยังไม่ได้ขึ้นรูป หรืออยู่ในลักษณะกึ่งสำเร็จรูปหรือเป็นผง</t>
  </si>
  <si>
    <t>แพลทินัม ยังไม่ได้ขึ้นรูป หรืออยู่ในลักษณะกึ่งสำเร็จรูป หรือเป็นผง รวมถึงตัวคะตะไลส์ที่มีลักษณะแบบผ้าหรือตะแกรง ทำจากแพลทินัม</t>
  </si>
  <si>
    <t>โลหะสามัญหรือเงิน ที่หุ้มติดด้วยทองคำ ไม่ได้ทำมากไปกว่าขั้นกึ่งสำเร็จรูป</t>
  </si>
  <si>
    <t>โลหะสามัญที่หุ้มติดด้วยเงิน และโลหะสามัญ เงินหรือทองคำ ที่หุ้มติดด้วยแพลทินัม ที่ไม่ได้ทำมากไปกว่าขั้นกึ่งสำเร็จรูป</t>
  </si>
  <si>
    <t>บริการรับจ้างเหมาที่เป็นส่วนหนึ่งของการผลิตโลหะมีค่าขั้นมูลฐาน</t>
  </si>
  <si>
    <t>อะลูมิเนียมและผลิตภัณฑ์อะลูมิเนียมขั้นมูลฐาน</t>
  </si>
  <si>
    <t>อะลูมิเนียม ที่ยังไม่ได้ขึ้นรูป และอะลูมิเนียมออกไซด์</t>
  </si>
  <si>
    <t>อะลูมิเนียม ที่ยังไม่ได้ขึ้นรูป (อันรอต)</t>
  </si>
  <si>
    <t>อะลูมิเนียมออกไซด์ (ยกเว้นคอรันดัมประดิษฐ์)</t>
  </si>
  <si>
    <t>ผลิตภัณฑ์กึ่งสำเร็จรูป ของอะลูมิเนียมหรืออะลูมิเนียมเจือ</t>
  </si>
  <si>
    <t>ผงอะลูมิเนียมและเกล็ดอะลูมิเนียม</t>
  </si>
  <si>
    <t>ท่อน เส้น และโพรไฟล์ ทำจากอะลูมิเนียม</t>
  </si>
  <si>
    <t>ลวดอะลูมิเนียม</t>
  </si>
  <si>
    <t>แผ่น แผ่นบาง และแถบทำจากอะลูมิเนียม มีความหนาเกิน 0.2 มิลลิเมตร</t>
  </si>
  <si>
    <t>ฟอยล์อะลูมิเนียม (จะพิมพ์หรือรองรับด้านหลังด้วยกระดาษ กระดาษแข็ง พลาสติก หรือวัตถุรองรับที่คล้ายกันหรือไม่ก็ตาม) มีความหนา (ยกเว้นวัตถุรองรับ) ไม่เกิน 0.2 มิลลิเมตร</t>
  </si>
  <si>
    <t>หลอดหรือท่อ และอุปกรณ์ติดตั้งหลอดหรือท่อ ทำจากอะลูมิเนียม</t>
  </si>
  <si>
    <t>บริการรับจ้างเหมาที่เป็นส่วนหนึ่งของการผลิตอะลูมิเนียมและผลิตภัณฑ์อะลูมิเนียมขั้นมูลฐาน</t>
  </si>
  <si>
    <t>สังกะสี ตะกั่ว และดีบุก และผลิตภัณฑ์ของของดังกล่าว ขั้นมูลฐาน</t>
  </si>
  <si>
    <t>ตะกั่ว สังกะสี ดีบุก ที่ยังไม่ได้ขึ้นรูป (อันรอต)</t>
  </si>
  <si>
    <t>ตะกั่ว ที่ยังไม่ได้ขึ้นรูป (อันรอต)</t>
  </si>
  <si>
    <t>สังกะสี ที่ยังไม่ได้ขึ้นรูป (อันรอต)</t>
  </si>
  <si>
    <t>ดีบุก ที่ยังไม่ได้ขึ้นรูป (อันรอต)</t>
  </si>
  <si>
    <t>ผลิตภัณฑ์กึ่งสำเร็จรูปของตะกั่วหรือวัตถุดังกล่าวเจือ</t>
  </si>
  <si>
    <t>ท่อน เส้น โพรไฟล์ และลวด ทำจากตะกั่ว</t>
  </si>
  <si>
    <t>แผ่น แผ่นบาง แถบ และฟอยล์ ทำจากตะกั่ว รวมถึงผงตะกั่วและเกล็ดตะกั่ว</t>
  </si>
  <si>
    <t>หลอดหรือท่อ และอุปกรณ์ติดตั้งหลอดหรือท่อ (เช่น ข้อต่อ ข้องอ ปลอกเลื่อน) ทำจากตะกั่ว</t>
  </si>
  <si>
    <t>ผลิตภัณฑ์กึ่งสำเร็จรูปของสังกะสีหรือวัตถุดังกล่าวเจือ</t>
  </si>
  <si>
    <t>ฝุ่นสังกะสี ผงสังกะสี และเกล็ดสังกะสี</t>
  </si>
  <si>
    <t>ท่อน เส้น โพรไฟล์ และลวด รวมถึงแผ่น แผ่นบาง แถบ และฟอยล์ ทำจากสังกะสี</t>
  </si>
  <si>
    <t>หลอดหรือท่อ และอุปกรณ์ติดตั้งหลอดหรือท่อ (เช่น ข้อต่อ ข้องอ ปลอกเลื่อน) ทำจากสังกะสี</t>
  </si>
  <si>
    <t>ผลิตภัณฑ์กึ่งสำเร็จรูปของดีบุกหรือวัตถุดังกล่าวเจือ</t>
  </si>
  <si>
    <t>ท่อน เส้น โพรไฟล์ และลวด ทำจากดีบุก</t>
  </si>
  <si>
    <t>แผ่น แผ่นบาง แถบ และฟอยล์ ทำจากดีบุก</t>
  </si>
  <si>
    <t>หลอดหรือท่อ และอุปกรณ์ติดตั้งหลอดหรือท่อ (เช่น ข้อต่อ ข้องอ ปลอกเลื่อน) ทำจากดีบุก</t>
  </si>
  <si>
    <t>บริการรับจ้างเหมาที่เป็นส่วนหนึ่งของการผลิตสังกะสี ตะกั่ว และดีบุก และผลิตภัณฑ์ของของดังกล่าว ขั้นมูลฐาน</t>
  </si>
  <si>
    <t>ทองแดงและผลิตภัณฑ์ทองแดงขั้นมูลฐาน</t>
  </si>
  <si>
    <t>ทองแดง ที่ยังไม่ได้ขึ้นรูป คอปเปอร์แมตต์ และซีเมนต์คอปเปอร์</t>
  </si>
  <si>
    <t>คอปเปอร์แมตต์ รวมถึงซีเมนต์คอปเปอร์ (พรีซิพิเตเต็ดคอปเปอร์)</t>
  </si>
  <si>
    <t>ทองแดงไม่บริสุทธิ์ รวมถึงแอโนดทองแดงสำหรับการทำให้บริสุทธิ์โดยวิธีทางไฟฟ้า</t>
  </si>
  <si>
    <t>ทองแดงบริสุทธิ์และทองแดงเจือ ที่ยังไม่ได้ขึ้นรูป รวมถึงมาสเตอร์แอลลอยของทองแดง</t>
  </si>
  <si>
    <t>ผลิตภัณฑ์กึ่งสำเร็จรูป ของทองแดงหรือทองแดงเจือ</t>
  </si>
  <si>
    <t>ผงทองแดงและเกล็ดทองแดง</t>
  </si>
  <si>
    <t>ท่อน เส้น และโพรไฟล์ ทำจากทองแดง</t>
  </si>
  <si>
    <t>ลวดทองแดง</t>
  </si>
  <si>
    <t>แผ่น แผ่นบาง และแถบ ทำจากทองแดง มีความหนาเกิน 0.15 มิลลิเมตร</t>
  </si>
  <si>
    <t>ฟอยล์ทองแดง (จะพิมพ์ หรือรองรับด้านหลังด้วยกระดาษ กระดาษแข็ง พลาสติก หรือวัตถุรองรับที่คล้ายกันหรือไม่ก็ตาม) มีความหนา (ยกเว้นวัตถุรองรับ) ไม่เกิน 0.15 มิลลิเมตร</t>
  </si>
  <si>
    <t>หลอดหรือท่อ และอุปกรณ์ติดตั้งของหลอดหรือท่อ ทำจากทองแดง</t>
  </si>
  <si>
    <t>บริการรับจ้างเหมาที่เป็นส่วนหนึ่งของการผลิตทองแดงและผลิตภัณฑ์ทองแดงขั้นมูลฐาน</t>
  </si>
  <si>
    <t>โลหะอื่นๆ ที่ไม่ใช่เหล็กขั้นมูลฐาน ซึ่งมิได้จัดประเภทไว้ในที่อื่น</t>
  </si>
  <si>
    <t>นิกเกิล ที่ยังไม่ได้ขึ้นรูป และผลิตภัณฑ์ขั้นกลางของโลหะกรรมทางนิกเกิล</t>
  </si>
  <si>
    <t>นิกเกิล ที่ยังไม่ได้ขึ้นรูป (อันรอต)</t>
  </si>
  <si>
    <t>นิกเกิลแมตต์ นิกเกิลออกไซด์ซินเตอร์ และผลิตภัณฑ์อื่นๆ ของโลหะกรรมทางนิกเกิล</t>
  </si>
  <si>
    <t>ผลิตภัณฑ์กึ่งสำเร็จรูป ของนิกเกิลและนิกเกิลเจือ</t>
  </si>
  <si>
    <t>ผงนิกเกิลและเกล็ดนิกเกิล</t>
  </si>
  <si>
    <t>ท่อน เส้น โพรไฟล์ และลวด ทำจากนิกเกิล</t>
  </si>
  <si>
    <t>แผ่น แผ่นบาง แถบ และฟอยล์ ทำจากนิกเกิล</t>
  </si>
  <si>
    <t>หลอดหรือท่อ และอุปกรณ์ติดตั้งของหลอดหรือท่อ (เช่น ข้อต่อ ข้องอ ปลอกเลื่อน) ทำจากนิกเกิล</t>
  </si>
  <si>
    <t>โลหะอื่นๆ ที่ไม่ใช่เหล็กและของทำจากโลหะดังกล่าว รวมถึงเซอร์เมต เถ้าและกากที่มีโลหะหรือสารประกอบของโลหะ</t>
  </si>
  <si>
    <t>ยูเรเนียมธรรมชาติและสารประกอบของยูเรเนียมธรรมชาติ โลหะเจือ ดิสเพอร์ชัน (รวมถึงเชอร์เมต) ผลิตภัณฑ์เซรามิกและของผสมที่มียูเรเนียมธรรมชาติหรือสารประกอบของยูเรเนียมธรรมชาติ</t>
  </si>
  <si>
    <t>บริการรับจ้างเหมาที่เป็นส่วนหนึ่งของการผลิตโลหะอื่นๆ ที่ไม่ใช่เหล็กขั้นมูลฐาน ซึ่งมิได้จัดประเภทไว้ในที่อื่น</t>
  </si>
  <si>
    <t>บริการหล่อโลหะ</t>
  </si>
  <si>
    <t>บริการหล่อเหล็กและเหล็กกล้า</t>
  </si>
  <si>
    <t>บริการหล่อเหล็ก</t>
  </si>
  <si>
    <t>บริการหล่อเหล็กหล่ออบเหนียว</t>
  </si>
  <si>
    <t>บริการหล่อเหล็กหล่อกราไฟต์</t>
  </si>
  <si>
    <t>บริการหล่อเหล็กหล่อสีเทา</t>
  </si>
  <si>
    <t>หลอดหรือท่อ และโพรไฟล์กลวง ทำจากเหล็กหล่อ</t>
  </si>
  <si>
    <t>อุปกรณ์ติดตั้งของหลอดหรือท่อ (เช่น ข้อต่อ ข้องอ ปลอกเลื่อน) ที่ได้จากการหล่อ</t>
  </si>
  <si>
    <t>บริการหล่อเหล็กกล้า</t>
  </si>
  <si>
    <t>หลอดหรือท่อ และโพรไฟล์กลวง ทำจากเหล็กกล้าหล่อ</t>
  </si>
  <si>
    <t>อุปกรณ์ติดตั้งของหลอดหรือท่อ (เช่น ข้อต่อ ข้องอ ปลอกเลื่อน) ที่ได้จากการหล่อเหล็กกล้า</t>
  </si>
  <si>
    <t>บริการหล่อโลหะที่ไม่ใช่เหล็กและเหล็กกล้า</t>
  </si>
  <si>
    <t>บริการหล่อโลหะเบา</t>
  </si>
  <si>
    <t>ผลิตภัณฑ์โลหะประดิษฐ์ (ยกเว้นเครื่องจักรและอุปกรณ์)</t>
  </si>
  <si>
    <t>ผลิตภัณฑ์ที่มีโครงสร้างเป็นโลหะ ถังน้ำขนาดใหญ่ ที่เก็บกักน้ำ และเครื่องกำเนิดไอน้ำ</t>
  </si>
  <si>
    <t>ผลิตภัณฑ์ที่มีโครงสร้างเป็นโลหะ</t>
  </si>
  <si>
    <t>โครงสร้างโลหะสำหรับใช้ในงานก่อสร้าง</t>
  </si>
  <si>
    <t>ผลิตภัณฑ์ที่มีโครงสร้างเป็นโลหะและส่วนประกอบของของดังกล่าว</t>
  </si>
  <si>
    <t>สะพานและส่วนของสะพาน ทำจากเหล็กหรือเหล็กกล้า</t>
  </si>
  <si>
    <t>หอคอยและเสาที่มีโครงประสานกัน ทำจากเหล็กหรือเหล็กกล้า</t>
  </si>
  <si>
    <t>สิ่งก่อสร้างและส่วนประกอบของสิ่งก่อสร้าง แผ่น เส้น มุม รูปทรง หน้าตัดรูปต่างๆ ของเหล็ก เหล็กกล้า หรืออะลูมิเนียม</t>
  </si>
  <si>
    <t>บริการรับจ้างเหมาที่เป็นส่วนหนึ่งของการผลิตโครงสร้างโลหะสำหรับใช้ในงานก่อสร้าง</t>
  </si>
  <si>
    <t>อาคารสำเร็จรูปที่มีโลหะเป็นส่วนประกอบหลัก</t>
  </si>
  <si>
    <t>อาคารสำเร็จรูปที่ทำจากโลหะ</t>
  </si>
  <si>
    <t>บริการรับจ้างเหมาที่เป็นส่วนหนึ่งของการผลิตอาคารสำเร็จรูปที่มีโลหะเป็นส่วนประกอบหลัก</t>
  </si>
  <si>
    <t>ประตู หน้าต่าง บานเลื่อน ประตูรั้ว และผลิตภัณฑ์ที่คล้ายกันที่ทำจากโลหะ</t>
  </si>
  <si>
    <t>ประตู หน้าต่าง กรอบของประตูหน้าต่าง และธรณีประตู</t>
  </si>
  <si>
    <t>บริการรับจ้างเหมาที่เป็นส่วนหนึ่งของการผลิตประตู หน้าต่าง บานเลื่อน ประตูรั้ว และผลิตภัณฑ์ที่คล้ายกัน ที่ทำจากโลหะ</t>
  </si>
  <si>
    <t>ผลิตภัณฑ์อื่นๆ ที่มีโครงสร้างเป็นโลหะ</t>
  </si>
  <si>
    <t>ผลิตภัณฑ์อื่นๆ ที่มีโครงสร้างเป็นโลหะ เช่น รางน้ำ ที่ครอบสันหลังคา กรอบช่องกระจกหลังคา ราวบันได กันสาด ลูกหมุนระบายอากาศ และองค์ประกอบอื่นๆ ที่จัดทำแล้วสำหรับอาคาร</t>
  </si>
  <si>
    <t>บริการรับจ้างเหมาที่เป็นส่วนหนึ่งของการผลิตผลิตภัณฑ์อื่นๆ ที่มีโครงสร้างเป็นโลหะ</t>
  </si>
  <si>
    <t>ถังน้ำขนาดใหญ่ ที่เก็บกักน้ำ และภาชนะบรรจุที่ทำจากโลหะ</t>
  </si>
  <si>
    <t>หม้อน้ำ (boiler) สำหรับการทำความร้อนจากส่วนกลาง และเครื่องกระจายความร้อน</t>
  </si>
  <si>
    <t>เครื่องกระจายความร้อนและหม้อน้ำ (boiler) สำหรับการทำความร้อนจากส่วนกลาง</t>
  </si>
  <si>
    <t>เครื่องกระจายความร้อนสำหรับทำความร้อนจากส่วนกลาง ไม่ได้ทำความร้อนด้วยไฟฟ้า และส่วนประกอบของเครื่องดังกล่าว ที่ทำจากเหล็กหรือเหล็กกล้า</t>
  </si>
  <si>
    <t>หม้อน้ำ (boiler) สำหรับการทำความร้อนจากส่วนกลาง ที่ผลิตน้ำร้อนหรือไอน้ำความดันต่ำ</t>
  </si>
  <si>
    <t>ส่วนประกอบของหม้อน้ำ (boiler) สำหรับการทำความร้อนจากส่วนกลาง</t>
  </si>
  <si>
    <t>บริการรับจ้างเหมาที่เป็นส่วนหนึ่งของการผลิตหม้อน้ำ (boiler) สำหรับการทำความร้อนจากส่วนกลางและเครื่องกระจายความร้อน</t>
  </si>
  <si>
    <t>ภาชนะบรรจุก๊าซอัดหรือก๊าซเหลวที่ทำจากโลหะ</t>
  </si>
  <si>
    <t>ภาชนะสำหรับบรรจุก๊าซอัดหรือก๊าซเหลว ที่ทำจากเหล็ก เหล็กกล้า หรืออะลูมิเนียม</t>
  </si>
  <si>
    <t>บริการรับจ้างเหมาที่เป็นส่วนหนึ่งของการผลิตภาชนะบรรจุก๊าซอัดหรือก๊าซเหลวที่ทำจากโลหะ</t>
  </si>
  <si>
    <t>ถังน้ำขนาดใหญ่ ที่เก็บกักน้ำ และภาชนะบรรจุอื่นๆ ที่ทำจากโลหะ</t>
  </si>
  <si>
    <t>เรเซอวัวร์ แท้งก์ แว้ต และภาชนะที่คล้ายกันสำหรับใช้บรรจุวัตถุใด ก็ตาม (ยกเว้นก๊าซอัดหรือก๊าซเหลว) ที่ทำจากเหล็ก เหล็กกล้า หรืออะลูมิเนียม ที่มีความจุเกิน 300 ลิตร จะบุด้านในหรือหุ้มฉนวนความร้อนหรือไม่ก็ตาม แต่ต้องไม่มีเครื่องอุปกรณ์กลหรือเครื่องอุปกรณ์ความร้อนประกอบติดอยู่ด้วย</t>
  </si>
  <si>
    <t>บริการรับจ้างเหมาที่เป็นส่วนหนึ่งของการผลิตถังน้ำขนาดใหญ่ ที่เก็บกักน้ำ และภาชนะบรรจุอื่นๆ ที่ทำจากโลหะ</t>
  </si>
  <si>
    <t>เครื่องกำเนิดไอน้ำ (ยกเว้นหม้อน้ำ (boiler) สำหรับการทำความร้อนจากส่วนกลาง)</t>
  </si>
  <si>
    <t>เครื่องกำเนิดไอน้ำและส่วนประกอบของเครื่องดังกล่าว</t>
  </si>
  <si>
    <t>เครื่องกำเนิดไอน้ำหรือไออื่นๆ (ยกเว้นหม้อน้ำ (boiler) สำหรับการทำความร้อนจากส่วนกลาง ซึ่งสามารถผลิตไอน้ำความดันต่ำได้ด้วย) รวมถึงหม้อน้ำ (boiler) ทำน้ำร้อนยิ่งยวด</t>
  </si>
  <si>
    <t>เครื่องจักรโรงงานที่เป็นเครื่องช่วยสำหรับใช้งานร่วมกับเครื่องกำเนิด ไอน้ำ (เช่น เครื่องอุ่นน้ำเลี้ยง เครื่องทำไอดง เครื่องขจัดเขม่า เครื่องเก็บก๊าซเพื่อนำมาใช้ใหม่) เครื่องควบแน่นสำหรับหน่วยจ่ายกำลังไอน้ำหรือไออื่นๆ</t>
  </si>
  <si>
    <t>ส่วนประกอบของเครื่องกำเนิดไอน้ำหรือไออื่นๆ (ยกเว้นหม้อน้ำ (boiler) สำหรับการทำความร้อนจากส่วนกลาง) หม้อน้ำ (boiler) ทำน้ำร้อนยิ่งยวด เครื่องจักรโรงงานที่เป็นเครื่องช่วยสำหรับใช้งานร่วมกับเครื่องกำเนิดไอน้ำ และเครื่องควบแน่นสำหรับหน่วยจ่ายกำลังไอน้ำหรือไออื่นๆ</t>
  </si>
  <si>
    <t>เครื่องปฏิกรณ์ปรมาณูและส่วนประกอบของเครื่องดังกล่าว</t>
  </si>
  <si>
    <t>เครื่องปฏิกรณ์ปรมาณู</t>
  </si>
  <si>
    <t>ส่วนประกอบของเครื่องปฏิกรณ์ปรมาณู</t>
  </si>
  <si>
    <t>บริการรับจ้างเหมาที่เป็นส่วนหนึ่งของการผลิตเครื่องกำเนิดไอน้ำ (ยกเว้นหม้อน้ำ (boiler)) สำหรับการทำความร้อนจากส่วนกลาง</t>
  </si>
  <si>
    <t>อาวุธและกระสุน</t>
  </si>
  <si>
    <t>กระสุนและระเบิด</t>
  </si>
  <si>
    <t>ระเบิด ระเบิดมือ ตอร์ปิโด ทุ่นระเบิด ขีปนาวุธ และยุทโธปกรณ์ที่คล้ายกัน ส่วนประกอบของของดังกล่าว รวมถึงลูกปืน กระสุนปืนอื่นๆ และจรวด และส่วนประกอบของของดังกล่าว รวมถึงลูกปรายและหมอนลูกปืน</t>
  </si>
  <si>
    <t>ระเบิด ระเบิดมือ ตอร์ปิโด ทุ่นระเบิด ขีปนาวุธ และยุทโธปกรณ์ที่คล้ายกัน ส่วนประกอบของของดังกล่าว  รวมถึงลูกปืน กระสุนปืนอื่นๆ และจรวด และส่วนประกอบของของดังกล่าว รวมถึงลูกปรายและหมอนลูกปืน</t>
  </si>
  <si>
    <t>บริการรับจ้างเหมาที่เป็นส่วนหนึ่งของการผลิตกระสุนและระเบิด</t>
  </si>
  <si>
    <t>อาวุธหนัก อาวุธปืน และอาวุธอื่นๆ</t>
  </si>
  <si>
    <t>อาวุธที่ใช้ในทางการทหาร เช่น อาวุธปืนใหญ่ (ปืนใหญ่ เฮาวิทเซอร์ และปืนครก) เครื่องยิงจรวด เครื่องพ่นไฟ เครื่องยิงลูกระเบิด รวมถึงท่อยิงตอร์ปิโดและเครื่องยิงที่คล้ายกัน</t>
  </si>
  <si>
    <t>ปืนลูกโม่ ปืนพก อาวุธปืนที่ไม่ได้ใช้ทางการทหาร และกลอุปกรณ์ที่คล้ายกัน</t>
  </si>
  <si>
    <t>ส่วนประกอบและอุปกรณ์ประกอบของอาวุธหนัก อาวุธปืน และอาวุธอื่นๆ เช่น ซองปืน ลำกล้องปืนลูกซอง เป็นต้น</t>
  </si>
  <si>
    <t>บริการรับจ้างเหมาที่เป็นส่วนหนึ่งของการผลิตอาวุธหนัก อาวุธปืน และอาวุธอื่นๆ</t>
  </si>
  <si>
    <t>ผลิตภัณฑ์โลหะประดิษฐ์อื่นๆ และบริการที่เกี่ยวข้องกับงานโลหะ</t>
  </si>
  <si>
    <t>บริการตี กด ตอกพิมพ์ และม้วนขึ้นรูปโลหะ รวมถึงบริการผสมโลหะผง</t>
  </si>
  <si>
    <t>บริการตี กด ตอกพิมพ์ และม้วนขึ้นรูปโลหะ  รวมถึงบริการผสมโลหะผง</t>
  </si>
  <si>
    <t>บริการตี กด ตอกพิมพ์ และม้วนขึ้นรูปโลหะ</t>
  </si>
  <si>
    <t>บริการตีโลหะ</t>
  </si>
  <si>
    <t>บริการตอกพิมพ์โลหะ</t>
  </si>
  <si>
    <t>บริการขึ้นรูปโลหะด้วยวิธีอื่นๆ</t>
  </si>
  <si>
    <t>บริการผสมโลหะผง</t>
  </si>
  <si>
    <t>บริการตกแต่ง เคลือบ และกลึงกัดไสโลหะ</t>
  </si>
  <si>
    <t>บริการตกแต่งและเคลือบโลหะ</t>
  </si>
  <si>
    <t>บริการเคลือบโลหะ</t>
  </si>
  <si>
    <t>บริการเคลือบโลหะที่เป็นเหล็ก</t>
  </si>
  <si>
    <t>บริการเคลือบโลหะที่ไม่ใช่เหล็ก</t>
  </si>
  <si>
    <t>บริการตกแต่งผิวโลหะ ด้วยวิธีอื่นๆ</t>
  </si>
  <si>
    <t>บริการอบชุบโลหะด้วยความร้อน (ยกเว้นเคลือบโลหะ)</t>
  </si>
  <si>
    <t>บริการกลึงกัดไสโลหะ</t>
  </si>
  <si>
    <t>บริการกลึงกัดไสส่วนประกอบต่างๆ ที่เป็นโลหะ</t>
  </si>
  <si>
    <t>บริการแปรรูปโลหะด้วยวิธีอื่นๆ (ยกเว้นบริการกลึงโลหะ)</t>
  </si>
  <si>
    <t>ของใช้ชนิดมีคม เครื่องมือที่ใช้งานด้วยมือ และเครื่องโลหะทั่วไป</t>
  </si>
  <si>
    <t>ของใช้ชนิดมีคม</t>
  </si>
  <si>
    <t>มีดและใบมีด (ยกเว้นมีดและใบมีดสำหรับใช้กับเครื่องจักรหรือเครื่องใช้กล) และกรรไกรและใบกรรไกร</t>
  </si>
  <si>
    <t>มีดโกนและใบมีดโกน (รวมถึงแถบใบมีดโกนที่เพียงแต่ขึ้นรูป)</t>
  </si>
  <si>
    <t>ของมีคมอื่นๆ (เช่น ปัตตาเลี่ยน มีดสำหรับคนขายเนื้อหรือสำหรับใช้ในครัวเพื่อใช้ผ่า สับ หรือสับให้ละเอียด มีดตัดกระดาษ) รวมถึงชุดเครื่องตกแต่งและครื่องมือใช้สำหรับตกแต่งเล็บมือและเล็บเท้า (รวมถึงตะไบแต่งเล็บ)</t>
  </si>
  <si>
    <t>ช้อน ส้อม ทัพพี ทัพพีโปร่ง มีดเสิร์ฟเค้ก มีดปลา มีดเนย คีมคีบน้ำตาล และเครื่องครัวหรือเครื่องใช้บนโต๊ะอาหารที่คล้ายกัน</t>
  </si>
  <si>
    <t>กระบี่ ดาบ ดาบปลายปืน ทวน และอาวุธที่คล้ายกัน ส่วนประกอบของของดังกล่าว รวมถึงปลอกและฝักสำหรับของดังกล่าว</t>
  </si>
  <si>
    <t>บริการรับจ้างเหมาที่เป็นส่วนหนึ่งของการผลิตของใช้ชนิดมีคม</t>
  </si>
  <si>
    <t>กุญแจและบานพับ</t>
  </si>
  <si>
    <t>กุญแจสายยู กุญแจชนิดที่ใช้กับรถยนต์ และกุญแจชนิดที่ใช้กับเฟอร์นิเจอร์ ที่ทำจากโลหะสามัญ</t>
  </si>
  <si>
    <t>กุญแจชนิดอื่นๆ ที่ทำจากโลหะสามัญ</t>
  </si>
  <si>
    <t>แคลส์ปและโครงพร้อมแคลส์ปซึ่งมีกุญแจอยู่ด้วย ที่ทำจากโลหะสามัญ ลูกกุญแจสำหรับของข้างต้น ที่ทำจากโลหะสามัญ</t>
  </si>
  <si>
    <t>อุปกรณ์สำหรับยึด อุปกรณ์ติดตั้ง (ฟิตติ้ง) และของที่คล้ายกัน ที่ทำจากโลหะสามัญ เหมาะสำหรับใช้กับเฟอร์นิเจอร์ ประตู หน้าต่าง มู่ลี่ บันได ตัวถังรถ เครื่องอาน หีบเดินทางขนาดใหญ่ หีบเก็บของ กล่องเก็บของมีค่า หรือใช้กับของที่คล้ายกัน ที่วางหรือแขวนหมวก เท้าแขน และ สิ่งติดตั้งถาวรที่คล้ายกันทำจากโลหะสามัญ ลูกล้อพร้อมอุปกรณ์สำหรับยึดที่ทำจากโลหะสามัญ อุปกรณ์ปิดประตูอัตโนมัติที่ทำจากโลหะสามัญ</t>
  </si>
  <si>
    <t>บริการรับจ้างเหมาที่เป็นส่วนหนึ่งของการผลิตกุญแจและบานพับ</t>
  </si>
  <si>
    <t>เครื่องมือที่ใช้งานด้วยมือและเครื่องโลหะทั่วไปอื่นๆ</t>
  </si>
  <si>
    <t>เครื่องมือที่ใช้งานด้วยมือดังต่อไปนี้ คือ เสียม พลั่ว แมตทอก อีเต้อ จอบ สามง่ามและคราด ขวาน มีดขอ และเครื่องมือสำหรับตัดที่คล้ายกัน รวมถึงกรรไกรตัดลิดและกรรไกรตัดเล็มทุกชนิด เคียวด้ามยาว เคียวเกี่ยวข้าว มีดตัดหญ้า กรรไกรแต่งพุ่มไม้ ลิ่มผ่าไม้ และเครื่องมืออื่นๆ ชนิดที่ใช้ในการเกษตร การทำสวน หรือการป่าไม้</t>
  </si>
  <si>
    <t>เลื่อยมือ ใบเลื่อยทุกชนิด (รวมถึงใบเลื่อยที่ใช้สำหรับเฉือนทำร่องหรือใบเลื่อยที่ไม่มีฟ้น)</t>
  </si>
  <si>
    <t>เครื่องมือที่ใช้งานด้วยมืออื่นๆ</t>
  </si>
  <si>
    <t>เครื่องมือสำหรับทำเกลียวในหรือทำเกลียวนอก เครื่องมือสำหรับเจาะ (ยกเว้นที่ใช้เจาะหิน) เครื่องมือสำหรับคว้านหรือตกแต่งรูเจาะ เครื่องมือสำหรับขูดผิว เครื่องมือสำหรับกลึง และเครื่องมือชนิดถอดสับเปลี่ยนได้อื่นๆ (ยกเว้นเครื่องมือสำหรับอัด ตอกพิมพ์ หรือตอกรู และแม่พิมพ์ (ดาย) สำหรับดึงหรืออัดรีดโลหะ) ชนิดถอดสับเปลี่ยนได้</t>
  </si>
  <si>
    <t>หีบแบบหล่อสำหรับใช้ในงานหล่อโลหะ ฐานแบบหล่อ หุ่นแบบหล่อ รวมถึงแบบหล่อสำหรับใช้กับโลหะ (ยกเว้นแบบหล่ออินกอต) โลหะคาร์ไบด์ แก้ว วัตถุจำพวกแร่ ยางหรือพลาสติก</t>
  </si>
  <si>
    <t xml:space="preserve">เครื่องมืออื่นๆ </t>
  </si>
  <si>
    <t>บริการรับจ้างเหมาที่เป็นส่วนหนึ่งของการผลิตเครื่องมือที่ใช้งานด้วยมือและครื่องโลหะทั่วไปอื่นๆ</t>
  </si>
  <si>
    <t>ถัง กระป๋อง ถังกลมขนาดใหญ่ และภาชนะบรรจุที่คล้ายกัน ที่ทำจากโลหะ</t>
  </si>
  <si>
    <t>ถังกลมขนาดใหญ่และภาชนะบรรจุที่คล้ายกันที่ทำจากโลหะ</t>
  </si>
  <si>
    <t>ถังกลมขนาดใหญ่และภาชนะที่คล้ายกันที่ทำจากโลหะ</t>
  </si>
  <si>
    <t>แท้งก์ คาสก์ ดรัม กระป๋อง หีบ และภาชนะที่คล้ายกัน สำหรับใช้บรรจุวัตถุใดก็ตาม (ยกเว้นก๊าซอัดหรือก๊าซเหลว) ที่ทำจากเหล็กหรือเหล็กกล้าที่มีความจุตั้งแต่ 50 ลิตรขึ้นไป แต่ไม่เกิน 300 ลิตร จะบุด้านในหรือหุ้มฉนวนความร้อนหรือไม่ก็ตาม แต่ต้องไม่มีเครื่องอุปกรณ์กลหรือเครื่องอุปกรณ์ความร้อนประกอบติดอยู่ด้วย</t>
  </si>
  <si>
    <t>แท้งก์ คาสก์ ดรัม กระป๋อง (ยกเว้นที่ต้องปิดโดยวิธีบัดกรีหรือเม้มขอบ) หีบ และภาชนะที่คล้ายกัน สำหรับใช้บรรจุวัตถุใดก็ตาม (ยกเว้น ก๊าซอัดหรือก๊าซเหลว) ที่ทำจากเหล็กหรือเหล็กกล้าที่มีความจุน้อยกว่า 50 ลิตร จะบุด้านในหรือหุ้มฉนวนความร้อนหรือไม่ก็ตาม แต่ต้องไม่มีเครื่องอุปกรณ์กลหรือเครื่องอุปกรณ์ความร้อนประกอบติดอยู่ด้วย</t>
  </si>
  <si>
    <t>บริการรับจ้างเหมาที่เป็นส่วนหนึ่งของการผลิตถังกลมขนาดใหญ่และภาชนะที่คล้ายกันที่ทำจากโลหะ</t>
  </si>
  <si>
    <t>กระป๋องโลหะและบรรจุภัณฑ์อื่นๆ ที่ทำจากโลหะ</t>
  </si>
  <si>
    <t>กระป๋องที่ต้องปิดโดยวิธีบัดกรีหรือเม้มขอบ ที่ทำจากเหล็กหรือเหล็กกล้า มีความจุน้อยกว่า 50 ลิตร</t>
  </si>
  <si>
    <t>คาสก์ ดรัม กระป๋อง หีบ และภาชนะที่คล้ายกัน (รวมถึงภาชนะรูปทรง กระบอกแบบแข็งหรือแบบบีบพับได้) สำหรับใช้บรรจุวัตถุใดก็ตาม (ยกเว้นก๊าซอัดหรือก๊าซเหลว) ที่ทำจากอะลูมิเนียม ที่มีความจุไม่เกิน 300 ลิตร จะบุด้านในหรือหุ้มฉนวนความร้อนหรือไม่ก็ตาม แต่ต้องไม่มีเครื่องอุปกรณ์กลหรือเครื่องอุปกรณ์ความร้อนประกอบติดอยู่ด้วย</t>
  </si>
  <si>
    <t>จุกและฝา (รวมถึง จุกจีบ ฝาเกลียว และจุกริน) ปลอกหุ้มปากขวด ฝาถังชนิดเกลียว ฝาครอบ ปากถัง สิ่งที่ใช้ปิดผนึก และอุปกรณ์ประกอบอย่างอื่นที่ใช้ในการบรรจุ ที่ทำจากโลหะสามัญ</t>
  </si>
  <si>
    <t>บริการรับจ้างเหมาที่เป็นส่วนหนึ่งของการผลิตกระป๋องโลหะและบรรจุภัณฑ์อื่นๆ ที่ทำจากโลหะ</t>
  </si>
  <si>
    <t>ของที่ทำจากลวด โซ่ สปริง สลักเกลียว และตะปูควง</t>
  </si>
  <si>
    <t>ลวด เคเบิล และของที่ทำจากลวด</t>
  </si>
  <si>
    <t>ลวดเกลียว โรป เคเบิล แถบถัก สลิง และของที่คล้ายกัน ที่ทำจากเหล็กหรือเหล็กกล้าไม่หุ้มฉนวนไฟฟ้า</t>
  </si>
  <si>
    <t>ลวดหนามที่ทำจากเหล็กหรือเหล็กกล้า รวมถึงลวดเกลียว เคเบิล แถบถัก และของที่คล้ายกัน ที่ทำจากทองแดงหรืออะลูมิเนียม ไม่หุ้มฉนวนไฟฟ้า</t>
  </si>
  <si>
    <t>ของที่มีลักษณะแบบผ้า (รวมถึงแถบที่เป็นวง) ตะแกรง ตาข่าย และรั้ว ที่ทำจากลวดเหล็ก ลวดเหล็กกล้า ลวดทองแดง หรือลวดอะลูมิเนียม รวมถึงเอกซ์แพนเด็ดเมทัล ที่ทำจากเหล็ก เหล็กกล้า ทองแดง นิกเกิล หรืออะลูมิเนียม</t>
  </si>
  <si>
    <t>ลวด เส้น หลอด แผ่น อิเล็กโทรด และผลิตภัณฑ์ที่คล้ายกัน ที่ทำจากโลหะสามัญหรือโลหะคาร์ไบด์ เคลือบหรือทำแกนกลางด้วยวัตถุจำพวกฟลักซ์ ชนิดที่ใช้ในการบัดกรี เป่าแล่น เชื่อม หรือพอกโลหะหรือโลหะคาร์ไบด์ รวมถึงลวดและเส้นที่ทำจากผงโลหะสามัญซึ่งเกาะหรือติดรวมกัน ใช้ในการพ่นโลหะ</t>
  </si>
  <si>
    <t>บริการรับจ้างเหมาที่เป็นส่วนหนึ่งของการผลิตลวด เคเบิล และของที่ทำจากลวด</t>
  </si>
  <si>
    <t>โซ่ สปริง สลักเกลียว และตะปูควง</t>
  </si>
  <si>
    <t>โซ่ สปริง และตะปู</t>
  </si>
  <si>
    <t>ตะปู ตะปูสั้นหัวใหญ่ หมุดกด ตะปูสองขา และของที่คล้ายกัน</t>
  </si>
  <si>
    <t>สปริงและแผ่นที่ใช้เป็นสปริง ที่ทำจากเหล็ก เหล็กกล้า หรือทองแดง</t>
  </si>
  <si>
    <t>โซ่ (ยกเว้นโซ่ชนิดใช้ข้อต่อ (อาร์ทิคิวเลเต็ดลิงก์)) และส่วนประกอบ</t>
  </si>
  <si>
    <t>เข็มเย็บ เข็มถักนิต เข็มบอดคิน เข็มถักโครเชต์ เข็มเจาะรูเพื่อการปัก และของที่คล้ายกัน สำหรับใช้งานด้วยมือ ที่ทำจากเหล็กหรือเหล็กกล้า รวมถึงเข็มซ่อนปลายและเข็มอื่นๆ ที่ทำจากเหล็กหรือเหล็กกล้า ซึ่งมิได้จัดประเภทไว้ในที่อื่น</t>
  </si>
  <si>
    <t>สลักเกลียวและตะปูควง</t>
  </si>
  <si>
    <t>ตะปูเกลียวหัวเหลี่ยม ตะปูเกลียวหัวตะขอและตะปูเกลียวหัววงแหวน ตะปูควงสำหรับใช้กับไม้ ตะปูควงชนิดทำเกลียวในได้ในตัว ตะปูควงสำหรับโลหะ แป้นเกลียว ตะปูควงหรือสลักเกลียวอื่นๆ จะมีแป้นเกลียวหรือแหวนรองหรือไม่ก็ตาม และของที่มีเกลียวอื่นๆ ที่ทำจากเหล็กหรือเหล็กกล้า ซึ่งมิได้จัดประเภทไว้ในที่อื่น</t>
  </si>
  <si>
    <t>แหวนสปริงและแหวนล็อกอื่นๆ แหวนรองอื่นๆ หมุดย้ำ สลักและ สลักผ่า และของอื่นๆ ที่ไม่มีเกลียว ที่ทำจากเหล็กหรือเหล็กกล้า ซึ่งมิได้จัดประเภทไว้ในที่อื่น</t>
  </si>
  <si>
    <t>แหวนรอง (รวมถึงแหวนสปริง) หมุดย้ำ ตะปูควง สลักเกลียว แป้นเกลียว และของอื่นๆ ที่มีเกลียวและไม่มีเกลียว ที่ทำจากทองแดง ซึ่งมิได้จัดประเภทไว้ในที่อื่น</t>
  </si>
  <si>
    <t>สลักเกลียวและแป้นเกลียว ที่ทำจากนิกเกิล</t>
  </si>
  <si>
    <t xml:space="preserve">บริการรับจ้างเหมาที่เป็นส่วนหนึ่งของการผลิต โซ่ สปริง สลักเกลียว และตะปูควง </t>
  </si>
  <si>
    <t>บริการรับจ้างเหมาที่เป็นส่วนหนึ่งของการผลิต โซ่ สปริง สลักเกลียว และตะปูควง</t>
  </si>
  <si>
    <t>ผลิตภัณฑ์โลหะประดิษฐ์อื่นๆ ซึ่งมิได้จัดประเภทไว้ในที่อื่น</t>
  </si>
  <si>
    <t>เครื่องสุขภัณฑ์ที่ทำจากโลหะ</t>
  </si>
  <si>
    <t>เครื่องสุขภัณฑ์และส่วนประกอบของของดังกล่าว ที่ทำจากเหล็กหรือเหล็กกล้า ทองแดง หรืออะลูมิเนียม</t>
  </si>
  <si>
    <t>บริการรับจ้างเหมาที่เป็นส่วนหนึ่งของการผลิตเครื่องสุขภัณฑ์ที่ทำจากโลหะ</t>
  </si>
  <si>
    <t>เครื่องใช้ในครัวที่ทำจากโลหะ</t>
  </si>
  <si>
    <t>ของใช้บนโต๊ะอาหาร ของใช้ในครัว หรือของใช้ตามบ้านเรือนอื่นๆ และส่วนประกอบของของดังกล่าว รวมถึงของที่ใช้ขัดหม้อ แผ่น ถุงมือ และของที่คล้ายกัน สำหรับขัดหรือขัดถู</t>
  </si>
  <si>
    <t>เครื่องใช้กลที่ใช้แรงคน มีน้ำหนัก 10 กิโลกรัมหรือน้อยกว่า ใช้ในการเตรียมหรือทำอาหารหรือเครื่องดื่ม</t>
  </si>
  <si>
    <t>บริการรับจ้างเหมาที่เป็นส่วนหนึ่งของการผลิตเครื่องใช้ในครัว ที่ทำจากโลหะ</t>
  </si>
  <si>
    <t>ตู้นิรภัยและเครื่องใช้สำนักงานที่ทำจากโลหะ (ยกเว้นเฟอร์นิเจอร์)</t>
  </si>
  <si>
    <t>ตู้นิรภัย กำปั่น ประตูห้องมั่นคง และล็อคเกอร์นิรภัย ใช้เก็บของในห้องมั่นคง ที่หุ้มเกราะหรือเสริมให้แข็งแรง หีบใส่เงินหรือหีบใส่เอกสารสิทธิ์ และของที่คล้ายกัน ที่ทำจากโลหะสามัญ</t>
  </si>
  <si>
    <t>ตู้เอกสาร ตู้บัตรดัชนี ถาดเอกสาร ที่วางกระดาษ ถาดใส่ปากกา ขาตั้งสำหรับแขวนตราประทับ และเครื่องอุปกรณ์ที่คล้ายกันที่ใช้ในสำนักงานหรือโต๊ะทำงาน ที่ทำจากโลหะสามัญ (ยกเว้นเฟอร์นิเจอร์ที่ใช้ในสำนักงาน)</t>
  </si>
  <si>
    <t>อุปกรณ์ติดตั้ง (ฟิตติ้ง) สำหรับแฟ้มเอกสาร คลิบหนีบจดหมาย มุมเสียบจดหมาย คลิบหนีบกระดาษ ป้ายดัชนี และของใช้ในสำนักงานที่คล้ายกันที่ทำจากโลหะสามัญ รวมถึงแถบลวดเย็บที่ทำจากโลหะสามัญ (เช่น ใช้ในสำนักงาน ในกิจการเครื่องเบาะ ในการบรรจุหีบห่อ)</t>
  </si>
  <si>
    <t>บริการรับจ้างเหมาที่เป็นส่วนหนึ่งของการผลิตตู้นิรภัยและเครื่องใช้สำนักงานที่ทำจากโลหะ (ยกเว้นเฟอร์นิเจอร์)</t>
  </si>
  <si>
    <t>รูปหล่อขนาดเล็กและเครื่องประดับอื่นๆ ที่ทำจากโลหะสามัญ กรอบรูปถ่าย กรอบรูปภาพ และกรอบที่คล้ายกัน ที่ทำจากโลหะสามัญ รวมถึงกระจกเงาที่ทำจากโลหะสามัญ</t>
  </si>
  <si>
    <t>แคลส์ป โครงพร้อมแคลส์ป หัวเข็มขัด หัวเข็มขัดชนิดแคลส์ป ตาขอ ห่วง ตาไก่ และของที่คล้ายกัน ที่ทำจากโลหะสามัญ ชนิดที่ใช้กับเสื้อผ้า รองเท้า ผ้าใบบังแดด กระเป๋าถือ ของที่ใช้ในการเดินทาง หรือของอื่นที่จัดทำแล้ว รวมถึงหมุดย้ำที่เป็นรูปทรงกระบอกหรือสองขา ลูกปัดและเลื่อม ที่ทำจากโลหะสามัญ</t>
  </si>
  <si>
    <t>ใบจักรเรือและใบของใบจักรเรือ</t>
  </si>
  <si>
    <t>สมอ สมอเกา และส่วนประกอบของของดังกล่าว ที่ทำจากเหล็กหรือเหล็กกล้า</t>
  </si>
  <si>
    <t>ป้ายเครื่องหมาย ป้ายชื่อ ป้ายที่อยู่ และป้ายที่คล้ายกัน ตัวอักษร ตัวเลข และสัญลักษณ์อื่นๆ ที่ทำจากโลหะสามัญ (ยกเว้นที่มีแสงสว่าง)</t>
  </si>
  <si>
    <t>แม่เหล็กถาวร และของที่เจตนาให้เป็นแม่เหล็กถาวรหลังจากผ่านการทำให้เป็นแม่เหล็ก ที่ทำจากโลหะ</t>
  </si>
  <si>
    <t>บริการรับจ้างเหมาที่เป็นส่วนหนึ่งของการผลิตผลิตภัณฑ์โลหะประดิษฐ์อื่นๆ ซึ่งมิได้จัดประเภทไว้ในที่อื่น</t>
  </si>
  <si>
    <t>ผลิตภัณฑ์คอมพิวเตอร์ อิเล็กทรอนิกส์ และอุปกรณ์ที่ใช้ในทางทัศนศาสตร์</t>
  </si>
  <si>
    <t>ชิ้นส่วนและแผ่นวงจรอิเล็กทรอนิกส์</t>
  </si>
  <si>
    <t>ชิ้นส่วนอุปกรณ์แสดงภาพ</t>
  </si>
  <si>
    <t>หลอดภาพแคโทดเรย์ของเครื่องรับโทรทัศน์และวิดีโอมอนิเตอร์ หลอดของกล้องถ่ายโทรทัศน์ อิเมจคอนเวอร์เตอร์ อิเมจอินเทนซิไฟเออร์ และหลอดโฟโตแคโทดอื่นๆ หลอดภาพแสดงผลข้อมูล/ภาพกราฟิก สี ซึ่งมีจอประกอบด้วยจุดสารเรืองแสงที่อยู่ห่างเป็นระยะสั้นกว่า 0.4 มิลลิเมตร หลอดภาพแสดงผลข้อมูล/ภาพกราฟิก ขาวดำ หรือเอกรงค์อื่นๆ และหลอดแคโทดเรย์อื่นๆ</t>
  </si>
  <si>
    <t>หลอดไมโครเวฟ เช่น แมกนีตรอน ไคลสตรอน หลอดทราเวลลิงเวฟ- คาร์ซิโนตรอน (ยกเว้นหลอดกริดคอนโทรล) รวมถึงหลอดอื่นๆ (เช่น หลอดของเครื่องรับหรือเครื่องขยาย หลอดที่ใช้ผลึก ฯลฯ)</t>
  </si>
  <si>
    <t>ส่วนประกอบของหลอดเทอร์มิโอนิก หลอดโคลด์แคโทด หรือหลอด โฟโตแคโทด (เช่น หลอดสุญญากาศ หลอดบรรจุไอหรือก๊าซ หลอดเมอร์คิวรีอาร์กสำหรับกลับกระแสไฟฟ้า หลอดแคโทดเรย์ หลอดของกล้องถ่ายโทรทัศน์)</t>
  </si>
  <si>
    <t>บริการรับจ้างเหมาที่เป็นส่วนหนึ่งของการผลิตชิ้นส่วนอุปกรณ์แสดงภาพ</t>
  </si>
  <si>
    <t>ตัวเก็บประจุและตัวต้านทานอิเล็กทรอนิกส์</t>
  </si>
  <si>
    <t>ตัวเก็บประจุอิเล็กทรอนิกส์</t>
  </si>
  <si>
    <t>ตัวต้านทานอิเล็กทรอนิกส์</t>
  </si>
  <si>
    <t>ส่วนประกอบของตัวเก็บประจุและตัวต้านทานอิเล็กทรอนิกส์</t>
  </si>
  <si>
    <t>ส่วนประกอบของตัวเก็บประจุอิเล็กทรอนิกส์</t>
  </si>
  <si>
    <t>ส่วนประกอบของตัวต้านทานอิเล็กทรอนิกส์</t>
  </si>
  <si>
    <t>บริการรับจ้างเหมาที่เป็นส่วนหนึ่งของการผลิตตัวเก็บประจุและตัวต้านทานอิเล็กทรอนิกส์</t>
  </si>
  <si>
    <t>แผ่นวงจรอิเล็กทรอนิกส์</t>
  </si>
  <si>
    <t>วงจรพิมพ์</t>
  </si>
  <si>
    <t>แผงวงจรพิมพ์ที่ประกอบแล้วที่มีลักษณะเฉพาะ</t>
  </si>
  <si>
    <t>บริการรับจ้างเหมาที่เป็นส่วนหนึ่งของการผลิตแผ่นวงจรอิเล็กทรอนิกส์</t>
  </si>
  <si>
    <t>อุปกรณ์กึ่งตัวนำและวงจรรวม</t>
  </si>
  <si>
    <t>วงจรความจำ วงจรขยาย และวงจรอื่นๆ รวมถึงตัวประมวลผลและตัวควบคุมที่ประกอบเข้ากับวงจรความจำ วงจรกลับกระแสไฟฟ้า วงจรตรรกะ วงจรขยาย วงจรนาฬิกาและวงจรเวลา และวงจรอื่นๆ หรือไม่ก็ตาม</t>
  </si>
  <si>
    <t>ไดโอด ทรานซิสเตอร์ และกลอุปกรณ์กึ่งตัวนำ</t>
  </si>
  <si>
    <t>ไดโอด (ยกเว้นไดโอดไวแสงหรือไดโอดเปล่งแสง) ทรานซิสเตอร์ (ยกเว้นทรานซิลเตอร์ไวแสง) ไทริสเตอร์ ไดแอก และไทรแอก (ยกเว้นแบบไวแสง)</t>
  </si>
  <si>
    <t>กลอุปกรณ์กึ่งตัวนำแบบไวแสงและโฟโตวอลตาอิกเซลจะประกอบขึ้นเป็นโมดูลหรือทำเป็นแผงหรือไม่ก็ตาม (โซลาร์เซล) รวมถึงไดโอดเปล่งแสง ผลึกพีเอโซอิเล็กทริกที่ประกอบแล้ว และกลอุปกรณ์กึ่งตัวนำอื่นๆ</t>
  </si>
  <si>
    <t>สมาร์ทการ์ด</t>
  </si>
  <si>
    <t>ส่วนประกอบของวงจรรวมที่ใช้ในทางอิเล็กทรอนิกส์ ไดโอด ทรานซิสเตอร์ และกลอุปกรณ์กึ่งตัวนำ</t>
  </si>
  <si>
    <t>ส่วนประกอบของวงจรรวมที่ใช้ในทางอิเล็กทรอนิกส์</t>
  </si>
  <si>
    <t>ส่วนประกอบของไดโอด ทรานซิสเตอร์ และกลอุปกรณ์กึ่งตัวนำที่คล้ายกัน กลอุปกรณ์กึ่งตัวนำแบบไวแสงและโฟโตวอลตาอิกเซล จะประกอบขึ้นเป็นโมดูลหรือทำเป็นแผงหรือไม่ก็ตาม ไดโอดเปล่งแสง รวมถึงผลึกพีเอ-โซอิเล็กทริกที่ประกอบแล้ว</t>
  </si>
  <si>
    <t>บริการรับจ้างเหมาที่เป็นส่วนหนึ่งของการผลิตอุปกรณ์กึ่งตัวนำและวงจรรวม</t>
  </si>
  <si>
    <t>ชิ้นส่วนอิเล็กทรอนิกส์อื่นๆ</t>
  </si>
  <si>
    <t>ตัวเหนี่ยวนำที่เป็นชิ้นส่วนอิเล็กทรอนิกส์ (โช๊ค คอยล์ หม้อแปลง)</t>
  </si>
  <si>
    <t>ขั้วต่อสำหรับเส้นใยนำแสง สำหรับกลุ่มเส้นใยนำแสง หรือสำหรับเคเบิล เส้นใยนำแสง</t>
  </si>
  <si>
    <t>สายเคเบิลและสายสัญญาณเชื่อมต่อ ชนิดใช้กับอุปกรณ์อิเล็กทรอนิกส์</t>
  </si>
  <si>
    <t>แผ่นวงจรเสียงหรือแผ่นวงจรภาพของเครื่องประมวลผลข้อมูลอัตโนมัติ</t>
  </si>
  <si>
    <t>หัวเครื่องเล่นแผ่นเสียง (พิกอัปคาร์ทริดจ์)</t>
  </si>
  <si>
    <t>โมเด็มคอมพิวเตอร์ชนิดติดตั้งภายใน/ภายนอก</t>
  </si>
  <si>
    <t>บริการรับจ้างเหมาที่เป็นส่วนหนึ่งของการผลิตชิ้นส่วนอิเล็กทรอนิกส์อื่นๆ</t>
  </si>
  <si>
    <t>คอมพิวเตอร์และอุปกรณ์ต่อพ่วง</t>
  </si>
  <si>
    <t>คอมพิวเตอร์</t>
  </si>
  <si>
    <t>เครื่องประมวลผลข้อมูลอัตโนมัติ (คอมพิวเตอร์)</t>
  </si>
  <si>
    <t>เครื่องประมวลผลข้อมูลอัตโนมัติที่พกพาได้ มีน้ำหนักไม่เกิน 10 กิโลกรัม เช่น คอมพิวเตอร์แลปท็อป/โน๊ตบุก</t>
  </si>
  <si>
    <t>พีดีเอและคอมพิวเตอร์พกพาที่คล้ายกัน</t>
  </si>
  <si>
    <t>เครื่องคอมพิวเตอร์ลูกข่าย เช่น เครื่องบริการเงินด่วนอัตโนมัติ (ATM) เทอร์มินอลสำหรับเครื่องชำระเงิน ณ จุดขาย (POS)</t>
  </si>
  <si>
    <t>เครื่องคอมพิวเตอร์ส่วนบุคคล ที่มีหน่วยประมวลผลกลาง หน่วยรับเข้า และหน่วยส่งออก รวมอยู่ในเรือนเดียวกัน จะประกอบรวมกันหรือไม่ก็ตาม</t>
  </si>
  <si>
    <t>เครื่องประมวลผลข้อมูลอัตโนมัติอื่นๆ ที่นำเข้าในลักษณะเป็นระบบ</t>
  </si>
  <si>
    <t>หน่วยประมวลผล (ยกเว้นผลิตภัณฑ์ตามรายการย่อย 26201.14 หรือ26201.15) จะมีหน่วยดังต่อไปนี้หนึ่งหรือสองหน่วยอยู่ในเรือนเดียวกันหรือไม่ก็ตาม คือ หน่วยเก็บ หน่วยรับเข้า หรือหน่วยส่งออก</t>
  </si>
  <si>
    <t>ส่วนประกอบของเครื่องประมวลผลข้อมูลอัตโนมัติ (คอมพิวเตอร์)</t>
  </si>
  <si>
    <t>บริการรับจ้างเหมาที่เป็นส่วนหนึ่งของการผลิต/ประกอบคอมพิวเตอร์</t>
  </si>
  <si>
    <t>อุปกรณ์จัดเก็บข้อมูล</t>
  </si>
  <si>
    <t>หน่วยจัดเก็บข้อมูล เช่น หน่วยขับแผ่นบันทึก หน่วยขับจานบันทึก แบบแข็ง หน่วยขับแถบบันทึก หน่วยขับจานแสง หน่วยขับซีดีรอม หน่วยขับดีวีดี หน่วยขับซีดีอาร์ อุปกรณ์หน่วยเก็บรูปแบบ รวมถึง สื่อบันทึกสำหรับอุปกรณ์ดังกล่าว สำหรับเครื่องประมวลผลข้อมูลอัตโนมัติ มีหรือไม่มีสื่อบันทึกที่ถอดออกได้ และไม่ว่าจะเป็นสื่อบันทึก ที่ใช้แม่เหล็ก แสง หรือเทคโนโลยีอื่นๆ หรือไม่ก็ตาม</t>
  </si>
  <si>
    <t>ส่วนประกอบของอุปกรณ์จัดเก็บข้อมูลของเครื่องประมวลผลข้อมูลอัตโนมัติ</t>
  </si>
  <si>
    <t>บริการรับจ้างเหมาที่เป็นส่วนหนึ่งของการผลิตอุปกรณ์จัดเก็บข้อมูล</t>
  </si>
  <si>
    <t>จอคอมพิวเตอร์</t>
  </si>
  <si>
    <t xml:space="preserve">จอ/มอนิเตอร์ชนิดหลอดแคโทดเรย์และชนิดอื่นๆ รวมถึงเครื่องฉายที่ใช้กับเครื่องคอมพิวเตอร์ </t>
  </si>
  <si>
    <t>จอ/มอนิเตอร์ชนิดหลอดแคโทดเรย์และชนิดอื่นๆ รวมถึงเครื่องฉายที่ใช้กับเครื่องคอมพิวเตอร์</t>
  </si>
  <si>
    <t>ส่วนประกอบของจอ/มอนิเตอร์ของคอมพิวเตอร์และเครื่องประมวลผลอัตโนมัติอื่นๆ</t>
  </si>
  <si>
    <t>บริการรับจ้างเหมาที่เป็นส่วนหนึ่งของการผลิตจอคอมพิวเตอร์</t>
  </si>
  <si>
    <t>อุปกรณ์ต่อพ่วงอื่นๆ</t>
  </si>
  <si>
    <t>เครื่องพิมพ์ ที่สามารถต่อเข้ากับเครื่องประมวลผลข้อมูลอัตโนมัติหรือเครือข่าย</t>
  </si>
  <si>
    <t>เครื่องอุปกรณ์สำนักงานแบบมัลติฟังก์ชัน เช่น เครื่องที่รวมถึงเครื่องพิมพ์ เครื่องสแกนเนอร์ เครื่องทำสำเนา และ/หรือ เครื่องโทรสารที่อยู่รวมกัน ที่สามารถต่อเข้ากับเครื่องประมวลผลข้อมูลอัตโนมัติหรือเครือข่าย</t>
  </si>
  <si>
    <t>อุปกรณ์ต่อพ่วงอื่นๆ ซึ่งมิได้จัดประเภทไว้ในที่อื่น</t>
  </si>
  <si>
    <t>ส่วนประกอบและอุปกรณ์ประกอบของอุปกรณ์ต่อพ่วงอื่นๆ</t>
  </si>
  <si>
    <t>บริการรับจ้างเหมาที่เป็นส่วนหนึ่งของการผลิตอุปกรณ์ต่อพ่วงอื่นๆ</t>
  </si>
  <si>
    <t>อุปกรณ์สื่อสาร</t>
  </si>
  <si>
    <t>โทรศัพท์และโทรสารแบบใช้สาย</t>
  </si>
  <si>
    <t>เครื่องโทรศัพท์แบบใช้สายพร้อมด้วยปากพูดหูฟัง (แฮนด์เซต) ไร้สาย</t>
  </si>
  <si>
    <t>เครื่องโทรสาร (Fax)</t>
  </si>
  <si>
    <t>เครื่องตอบรับโทรศัพท์</t>
  </si>
  <si>
    <t>ส่วนประกอบของโทรศัพท์และโทรสารแบบใช้สาย</t>
  </si>
  <si>
    <t>ส่วนประกอบของเครื่องโทรศัพท์แบบใช้สาย</t>
  </si>
  <si>
    <t>ส่วนประกอบของเครื่องโทรสาร (Fax)</t>
  </si>
  <si>
    <t>ส่วนประกอบของเครื่องตอบรับโทรศัพท์</t>
  </si>
  <si>
    <t>บริการรับจ้างเหมาที่เป็นส่วนหนึ่งของการผลิตโทรศัพท์และโทรสารแบบใช้สาย</t>
  </si>
  <si>
    <t>อุปกรณ์สื่อสารแบบไร้สาย</t>
  </si>
  <si>
    <t>เครื่องโทรศัพท์สำหรับเครือข่ายเซลลูลาร์หรือสำหรับเครือข่ายไร้สายอื่นๆ</t>
  </si>
  <si>
    <t>เครื่องรับแบบพกพาสำหรับใช้รับการเรียก รับสัญญาณเตือน หรือรับเพจ และอุปกรณ์เตือนการรับเพจ รวมถึงวิทยุติดตามตัว (เพจเจอร์)</t>
  </si>
  <si>
    <t>ส่วนประกอบของอุปกรณ์สื่อสารแบบไร้สาย</t>
  </si>
  <si>
    <t>บริการรับจ้างเหมาที่เป็นส่วนหนึ่งของการผลิตอุปกรณ์สื่อสารแบบไร้สาย</t>
  </si>
  <si>
    <t>อุปกรณ์สื่อสารที่ใช้ในการรับ/ส่งสัญญาณทางวิทยุและโทรทัศน์</t>
  </si>
  <si>
    <t>เครื่องส่งสำหรับวิทยุกระจายเสียงหรือวิทยุโทรทัศน์ ที่มีเครื่องรับประกอบร่วมอยู่ด้วย</t>
  </si>
  <si>
    <t>เครื่องส่งสำหรับวิทยุกระจายเสียงหรือวิทยุโทรทัศน์ ที่ไม่มีเครื่องรับประกอบร่วมอยู่ด้วย</t>
  </si>
  <si>
    <t xml:space="preserve">กล้องถ่ายโทรทัศน์ </t>
  </si>
  <si>
    <t>ส่วนประกอบของอุปกรณ์สื่อสารที่ใช้ในการรับ/ส่งสัญญาณทางวิทยุและโทรทัศน์</t>
  </si>
  <si>
    <t>สายอากาศ เครื่องสะท้อนสัญญาณอากาศทุกชนิด และจานดาวเทียม</t>
  </si>
  <si>
    <t>ส่วนประกอบอื่นๆ ของอุปกรณ์สื่อสารที่ใช้ในการรับ/ส่งสัญญาณทางวิทยุและโทรทัศน์</t>
  </si>
  <si>
    <t>บริการรับจ้างเหมาที่เป็นส่วนหนึ่งของการผลิตอุปกรณ์สื่อสารที่ใช้ในการรับ/ส่งสัญญาณทางวิทยุและโทรทัศน์</t>
  </si>
  <si>
    <t>อุปกรณ์สื่อสารอื่นๆ</t>
  </si>
  <si>
    <t>เครื่องสัญญาณแจ้งโจรกรรมหรืออัคคีภัยและเครื่องอุปกรณ์ที่คล้ายกัน</t>
  </si>
  <si>
    <t>อุปกรณ์สื่อสารสถานีภาคพื้นดิน (สถานีฐาน) เครื่องจักรสำหรับการรับ การเปลี่ยน และการส่ง หรือการสร้างเสียง ภาพ หรือข้อมูลอื่นๆ อุปกรณ์ตัดต่อสัญญาณและจัดเส้นทาง เช่น เครื่องส่งและเครื่องรับวิทยุชนิดที่ใช้สำหรับการแปลภาษาในทันทีของการประชุมที่ใช้หลายภาษา หน่วยควบคุมและหน่วยตัวปรับต่อ รวมถึงเกตเวย์ บริดจ์ และอุปกรณ์จัดเส้นทาง โมเด็มสำหรับเครื่องอุปกรณ์นำสัญญาณ แลนไร้สาย เป็นต้น และอุปกรณ์สื่อสารอื่นๆ สำหรับการสื่อสารในระบบเครือข่ายทางสายหรือไร้สาย</t>
  </si>
  <si>
    <t>ส่วนประกอบของอุปกรณ์สื่อสารอื่นๆ</t>
  </si>
  <si>
    <t>ส่วนประกอบของเครื่องสัญญาณแจ้งโจรกรรมหรืออัคคีภัยและเครื่องอุปกรณ์ที่คล้ายกัน</t>
  </si>
  <si>
    <t>ส่วนประกอบของอุปกรณ์สื่อสารอื่นๆ ในระบบเครือข่ายทางสายหรือไร้สาย</t>
  </si>
  <si>
    <t>บริการรับจ้างเหมาที่เป็นส่วนหนึ่งของการผลิตอุปกรณ์สื่อสารอื่นๆ</t>
  </si>
  <si>
    <t>เครื่องใช้อิเล็กทรอนิกส์ชนิดใช้ในครัวเรือน</t>
  </si>
  <si>
    <t>เครื่องรับโทรทัศน์</t>
  </si>
  <si>
    <t>เครื่องรับสำหรับโทรทัศน์ จะมีเครื่องรับวิทยุกระจายเสียง หรือเครื่องบันทึกเสียงหรือถอดเสียง หรือเครื่องบันทึกภาพวิดีโอหรือถอดภาพวิดีโอ ประกอบร่วมอยู่ด้วยหรือไม่ก็ตาม</t>
  </si>
  <si>
    <t>จอ/มอนิเตอร์และเครื่องฉาย ที่ไม่มีเครื่องอุปกรณ์รับสัญญาณโทรทัศน์ประกอบร่วมอยู่ด้วย และที่ไม่ใช้เฉพาะกับระบบประมวลผลข้อมูลอัตโนมัติ</t>
  </si>
  <si>
    <t>ส่วนประกอบของเครื่องรับโทรทัศน์</t>
  </si>
  <si>
    <t>บริการรับจ้างเหมาที่เป็นส่วนหนึ่งของการผลิตเครื่องรับโทรทัศน์</t>
  </si>
  <si>
    <t>เครื่องรับวิทยุ เครื่องเล่น บันทึก และทำสำเนาเสียงและภาพ</t>
  </si>
  <si>
    <t>เครื่องรับวิทยุ</t>
  </si>
  <si>
    <t>เครื่องรับวิทยุกระจายเสียง ที่สามารถทำงานได้โดยมีพลังงานจากแหล่งภายนอกหรือไม่ก็ตาม เช่น เครื่องรับวิทยุและเล่นเทปคาสเซ็ตขนาดกระเป๋า เครื่องรับวิทยุอื่นๆ ที่มีเครื่องบันทึกเสียงหรือถอดเสียงประกอบร่วมอยู่ด้วย ทรานซิสเตอร์ (ยกเว้นชนิดใช้กับยานยนต์)</t>
  </si>
  <si>
    <t>เครื่องรับวิทยุกระจายเสียง ที่ไม่สามารถทำงานได้โดยไม่มีพลังงานจากแหล่งภายนอกชนิดที่ใช้กับยานยนต์</t>
  </si>
  <si>
    <t>เครื่องเล่น บันทึก และทำสำเนาเสียงและภาพ</t>
  </si>
  <si>
    <t>เครื่องหมุนแผ่นเสียง (เรกคอร์ดเดก) เครื่องเล่นแผ่นเสียง เครื่องเล่นเทปคาสเซ็ตและเครื่องอุปกรณ์สำหรับถอดเสียงอื่นๆ</t>
  </si>
  <si>
    <t>เครื่องบันทึกเทปแม่เหล็กและเครื่องอุปกรณ์สำหรับบันทึกเสียงอื่นๆ จะมีอุปกรณ์ถอดเสียงประกอบร่วมอยู่ด้วยหรือไม่ก็ตาม</t>
  </si>
  <si>
    <t>กล้องถ่ายบันทึกวิดีโอและเครื่องบันทึกหรือถอดวิดีโออื่นๆ</t>
  </si>
  <si>
    <t>ส่วนประกอบของเครื่องรับวิทยุกระจายเสียง (ยกเว้นสายอากาศและเครื่องสะท้อนสัญญาณทางอากาศ) เครื่องเล่น บันทึก และทำสำเนาเสียงและภาพ</t>
  </si>
  <si>
    <t>ส่วนประกอบของเครื่องรับวิทยุกระจายเสียง (ยกเว้นสายอากาศและเครื่องสะท้อนสัญญาณทางอากาศ)</t>
  </si>
  <si>
    <t xml:space="preserve">ส่วนประกอบของเครื่องเล่น บันทึก และทำสำเนาเสียงและภาพ </t>
  </si>
  <si>
    <t>บริการรับจ้างเหมาที่เป็นส่วนหนึ่งของการผลิตเครื่องรับวิทยุ เครื่องเล่น บันทึก และทำสำเนาเสียงและภาพ</t>
  </si>
  <si>
    <t>ไมโครโฟน ลำโพง และเครื่องขยายเสียง</t>
  </si>
  <si>
    <t xml:space="preserve">ไมโครโฟน ลำโพง และเครื่องขยายเสียง </t>
  </si>
  <si>
    <t>ไมโครโฟนและขาตั้งไมโครโฟน</t>
  </si>
  <si>
    <t>ลำโพงจะติดตั้งในตู้ลำโพงหรือไม่ก็ตาม รวมถึงหูฟังชนิดครอบหัวและหูฟังชนิดเสียบหูจะประกอบรวมกับไมโครโฟนหรือไม่ก็ตาม และชุดที่ประกอบด้วยไมโครโฟนหนึ่งตัวและลำโพงตั้งแต่หนึ่งตัวขึ้นไป</t>
  </si>
  <si>
    <t>เครื่องขยายสัญญาณไฟฟ้าในช่วงความถี่สัญญาณเสียงและชุดเครื่องขยายเสียงด้วยไฟฟ้า</t>
  </si>
  <si>
    <t>ส่วนประกอบของไมโครโฟน ลำโพง หูฟัง และเครื่องขยายเสียง</t>
  </si>
  <si>
    <t>บริการรับจ้างเหมาที่เป็นส่วนหนึ่งของการผลิตไมโครโฟน ลำโพง และเครื่องขยายเสียง</t>
  </si>
  <si>
    <t>เครื่องใช้อิเล็กทรอนิกส์อื่นๆ ชนิดใช้ในครัวเรือน</t>
  </si>
  <si>
    <t>วิดีโอเกมชนิดที่ใช้กับเครื่องรับโทรทัศน์</t>
  </si>
  <si>
    <t>ตู้เพลง</t>
  </si>
  <si>
    <t>เครื่องเล่นคาราโอเกะ</t>
  </si>
  <si>
    <t>เครื่องรับสำหรับวิทยุโทรศัพท์หรือวิทยุโทรเลข ซึ่งมิได้จัดประเภทไว้ในที่อื่น</t>
  </si>
  <si>
    <t>ส่วนประกอบของเครื่องใช้อิเล็กทรอนิกส์อื่นๆ ชนิดใช้ในครัวเรือน (ยกเว้นวิดีโอเกมชนิดที่ใช้กับเครื่องรับโทรทัศน์)</t>
  </si>
  <si>
    <t>บริการรับจ้างเหมาที่เป็นส่วนหนึ่งของการผลิตเครื่องใช้อิเล็กทรอนิกส์อื่นๆ ชนิดใช้ในครัวเรือน</t>
  </si>
  <si>
    <t>เครื่องอุปกรณ์ที่ใช้ในการวัด การทดสอบ การนำร่อง และการควบคุม รวมถึงนาฬิกา</t>
  </si>
  <si>
    <t>เครื่องอุปกรณ์ที่ใช้ในการวัด การทดสอบ การนำร่อง และการควบคุม</t>
  </si>
  <si>
    <t>เครื่องอุปกรณ์ที่ใช้ในการวัด การทดสอบ การนำร่อง และการควบคุม (ยกเว้นที่ใช้ในทางอุตสาหกรรม)</t>
  </si>
  <si>
    <t xml:space="preserve">อุปกรณ์และเครื่องใช้ที่ใช้การเดินเรือหรือเดินอากาศ อุตุนิยมวิทยา หรือทางธรณีฟิสิกส์ และอุปกรณ์และเครื่องใช้ที่คล้ายกัน </t>
  </si>
  <si>
    <t>เข็มทิศสำหรับหาทิศทาง อุปกรณ์และเครื่องใช้อื่นๆ ที่ใช้ในการเดินเรือและเดินอากาศ</t>
  </si>
  <si>
    <t>เครื่องหาพิสัย อุปกรณ์และเครื่องใช้ในการสำรวจ (รวมถึงการสำรวจโดยวิธีการถ่ายรูป) ใช้ในทางอุทกศาสตร์ สมุทรศาสตร์ อุทกวิทยา อุตุนิยมวิทยา หรือทางธรณีฟิสิกส์ (ยกเว้นเข็มทิศ)</t>
  </si>
  <si>
    <t>เครื่องเรดาร์ เครื่องวิทยุช่วยการเดินเรือหรือเดินอากาศ และเครื่องวิทยุควบคุมระยะไกล</t>
  </si>
  <si>
    <t>เครื่องชั่งที่มีความไว อุปกรณ์ที่ใช้ในการเขียนแบบ การคำนวณทางคณิตศาสตร์ การวัดความยาว และอุปกรณ์ที่คล้ายกัน</t>
  </si>
  <si>
    <t>เครื่องชั่ง (บาลานซ์) ที่มีความไว 5 เซนติกรัมหรือไวกว่า มีหรือไม่มีตุ้มน้ำหนัก</t>
  </si>
  <si>
    <t>โต๊ะเขียนแบบและเครื่องเขียนแบบ จะเป็นชนิดอัตโนมัติหรือไม่ก็ตาม และอุปกรณ์อื่นๆ ที่ใช้ในการเขียนแบบ การทำเครื่องหมาย หรือการคำนวณทางคณิตศาสตร์</t>
  </si>
  <si>
    <t>ไมโครมิเตอร์ แคลลิเปอร์ เกจ และอุปกรณ์ที่ใช้วัดความยาวด้วยมือ ซึ่งมิได้จัดประเภทไว้ในที่อื่น</t>
  </si>
  <si>
    <t>อุปกรณ์และเครื่องอุปกรณ์สำหรับวัดปริมาณทางไฟฟ้าหรือรังสีที่ทำให้เกิดไอออไนเซซัน</t>
  </si>
  <si>
    <t>อุปกรณ์และเครื่องอุปกรณ์สำหรับวัดหรือตรวจหาการแผ่รังสีที่ทำให้เกิดไอออไนเซซัน</t>
  </si>
  <si>
    <t>ออสซิลโลสโกปและออสซิลโลกราฟ</t>
  </si>
  <si>
    <t>มัลติมิเตอร์ อุปกรณ์และเครื่องอุปกรณ์อื่นๆ สำหรับวัดหรือตรวจสอบแรงดันกระแส ความต้านทาน หรือกำลังไฟฟ้า ที่ไม่มีเครื่องบันทึก</t>
  </si>
  <si>
    <t>อุปกรณ์และเครื่องอุปกรณ์อื่นๆ ที่ออกแบบเป็นพิเศษสำหรับโทรคมนาคม เช่น ครอสทอล์กมิเตอร์ เครื่องวัดอัตรากำลังขยาย เครื่องวัดค่าความเพี้ยน โซโฟมิเตอร์</t>
  </si>
  <si>
    <t>มัลติมิเตอร์ อุปกรณ์และเครื่องอุปกรณ์สำหรับวัดหรือตรวจสอบเวเฟอร์กึ่งตัวนำหรืออุปกรณ์กึ่งตัวนำ  อุปกรณ์และเครื่องอุปกรณ์สำหรับวัดหรือตรวจสอบแรงดันกระแส ความต้านทานหรือกำลังไฟฟ้า และปริมาณไฟฟ้า ที่มีเครื่องบันทึก</t>
  </si>
  <si>
    <t>อุปกรณ์และเครื่องอุปกรณ์ตรวจวัดคุณสมบัติทางฟิสิกส์อื่นๆ</t>
  </si>
  <si>
    <t>ไฮโดรมิเตอร์และอุปกรณ์ที่คล้ายกัน เทอร์โมมิเตอร์ ไพโรมิเตอร์ บารอมิเตอร์ ไฮโกรมิเตอร์ ไซโครมิเตอร์ จะบันทึกได้หรือไม่ก็ตาม รวมถึงอุปกรณ์ดังกล่าวตั้งแต่สองชนิดขึ้นไปที่ประกอบร่วมกัน</t>
  </si>
  <si>
    <t>อุปกรณ์และเครื่องอุปกรณ์สำหรับวัดหรือตรวจสอบการไหล ระดับ ความดัน หรือตัวแปรอื่นๆ ของของเหลวหรือก๊าซ เช่น เครื่องวัดการไหล เกจระดับ มาโนมิเตอร์ เครื่องวัดความร้อน</t>
  </si>
  <si>
    <t>อุปกรณ์และเครื่องอุปกรณ์สำหรับการวิเคราะห์ทางฟิสิกส์หรือเคมี (เช่น โพลาริมิเตอร์ รีแฟรกโตมิเตอร์ สเปกโทรมิเตอร์ เครื่องวิเคราะห์ก๊าซหรือควัน) อุปกรณ์และเครื่องอุปกรณ์สำหรับวัดหรือตรวจสอบความหนืด ความพรุน การขยายตัว แรงตึงผิว หรือที่คล้ายกัน อุปกรณ์และเครื่องอุปกรณ์สำหรับการวัดหรือตรวจสอบปริมาณ ความร้อน เสียง หรือแสง (รวมถึงเครื่องวัดแสงในการถ่ายรูป)</t>
  </si>
  <si>
    <t>อุปกรณ์และเครื่องอุปกรณ์สำหรับวัด ตรวจสอบ และทดสอบอื่นๆ</t>
  </si>
  <si>
    <t>กล้องจุลทรรศน์ (ยกเว้นกล้องจุลทรรศน์แบบใช้เลนส์) และเครื่องดิฟแฟรกชัน</t>
  </si>
  <si>
    <t>เครื่องจักรและเครื่องใช้สำหรับทดสอบความแข็ง ความแข็งแรง ความคงทนต่อการอัด ความยืดหยุ่น หรือคุณสมบัติเชิงกลอื่นๆ ของวัตถุ (เช่น โลหะ ไม้ สิ่งทอ กระดาษ พลาสติก)</t>
  </si>
  <si>
    <t>เครื่องวัดปริมาณการจ่ายหรือการผลิตก๊าซ ของเหลว หรือไฟฟ้า รวมถึงคาลิเบรติ้งมิเตอร์ของเครื่องดังกล่าว</t>
  </si>
  <si>
    <t>เครื่องนับรอบ เครื่องนับผลผลิต แท็กซี่มิเตอร์ ไมลีโอมิเตอร์ เครื่องนับก้าวและที่คล้ายกัน เครื่องบอกความเร็ว เครื่องวัดรอบ รวมถึงสตรอโบสโกป</t>
  </si>
  <si>
    <t>อุปกรณ์และเครื่องอุปกรณ์สำหรับบังคับหรือควบคุมโดยอัตโนมัติแบบไฮดรอลิกหรือแบบนิวมาติก</t>
  </si>
  <si>
    <t>อุปกรณ์และเครื่องอุปกรณ์สำหรับตรวจสอบและทดสอบอื่นๆ</t>
  </si>
  <si>
    <t xml:space="preserve">เทอร์โมสแตตและมาโนสแตต  </t>
  </si>
  <si>
    <t>ส่วนประกอบเครื่องอุปกรณ์ที่ใช้ในการวัด การทดสอบ การนำร่อง และการควบคุม (ยกเว้นที่ใช้ในทางอุตสาหกรรม)</t>
  </si>
  <si>
    <t>ส่วนประกอบและอุปกรณ์ประกอบของเครื่องเรดาร์ เครื่องวิทยุช่วยการเดินเรือหรือเดินอากาศ และเครื่องวิทยุควบคุมระยะไกล</t>
  </si>
  <si>
    <t>ส่วนประกอบและอุปกรณ์ประกอบของผลิตภัณฑ์ใน 26511.12, 26511.20, 26511.32-33, 26511.41-45, 26511.51-53</t>
  </si>
  <si>
    <t>ส่วนประกอบและอุปกรณ์ประกอบของกล้องจุลทรรศน์ (ยกเว้นกล้องจุลทรรศน์แบบใช้เลนส์) และเครื่องดิฟแฟรกชัน</t>
  </si>
  <si>
    <t>ส่วนประกอบและอุปกรณ์ประกอบของผลิตภัณฑ์ใน 2511.63-64</t>
  </si>
  <si>
    <t>ส่วนประกอบและอุปกรณ์ประกอบของผลิตภัณฑ์ใน 26511.66 และ 26511.70</t>
  </si>
  <si>
    <t>ส่วนประกอบและอุปกรณ์ประกอบของผลิตภัณฑ์ใน 26511.11 และ 26511.62</t>
  </si>
  <si>
    <t>บริการรับจ้างเหมาที่เป็นส่วนหนึ่งของการผลิตเครื่องอุปกรณ์ที่ใช้ในการวัด การทดสอบ การนำร่อง และการควบคุม (ยกเว้นที่ใช้ในทางอุตสาหกรรม)</t>
  </si>
  <si>
    <t>เครื่องอุปกรณ์ที่ใช้ในการวัด การทดสอบ และการควบคุมกระบวนการผลิตในทางอุตสาหกรรม</t>
  </si>
  <si>
    <t>อุปกรณ์และเครื่องอุปกรณ์สำหรับบังคับหรือควบคุมโดยอัตโนมัติอื่นๆ (ยกเว้นแบบำฮดรอลิกหรือแบบนิวมาติก)</t>
  </si>
  <si>
    <t>อุปกรณ์และเครื่องอุปกรณ์สำหรับบังคับหรือควบคุมโดยอัตโนมัติอื่นๆ (ยกเว้นแบบไฮดรอลิกหรือแบบนิวมาติก)</t>
  </si>
  <si>
    <t>ส่วนประกอบและอุปกรณ์ประกอบของอุปกรณ์และเครื่องอุปกรณ์สำหรับบังคับหรือควบคุมโดยอัตโนมัติอื่นๆ</t>
  </si>
  <si>
    <t>บริการรับจ้างเหมาที่เป็นส่วนหนึ่งของการผลิตเครื่องอุปกรณ์ที่ใช้ในการวัด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</si>
  <si>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นาฬิกา</t>
  </si>
  <si>
    <t>นาฬิกาชนิดวอตช์และชนิดคล็อก (ยกเว้นเครื่องนาฬิกาและส่วนประกอบ)</t>
  </si>
  <si>
    <t>นาฬิกาข้อมือ นาฬิกาพก และนาฬิกาชนิดวอตช์อื่นๆ (ยกเว้นนาฬิกาจับเวลา) ที่มีตัวเรือนทำจากโลหะมีค่าหรือโลหะที่หุ้มติดด้วยโลหะมีค่า</t>
  </si>
  <si>
    <t>นาฬิกาข้อมือ นาฬิกาพก และนาฬิกาชนิดวอตช์อื่นๆ (ยกเว้นนาฬิกาจับเวลา) ที่มีตัวเรือนทำจากวัสดุอื่นๆ (ยกเว้นโลหะมีค่าหรือโลหะที่หุ้มติดด้วยโลหะมีค่า)</t>
  </si>
  <si>
    <t>นาฬิกาชนิดคล็อกแบบที่ใช้กับแผงหน้าปัดอุปกรณ์และนาฬิกาชนิดคล็อกที่คล้ายกัน สำหรับยานบก อากาศยาน ยานอวกาศ หรือยานน้ำ</t>
  </si>
  <si>
    <t>นาฬิกาชนิดคล็อกที่มีเครื่องนาฬิกาชนิดวอตช์ นาฬิกาปลุก นาฬิกาติดผนัง และนาฬิกาชนิดคล็อกอื่นๆ</t>
  </si>
  <si>
    <t>เครื่องนาฬิกาชนิดวอตช์และชนิดคล็อก และส่วนประกอบ</t>
  </si>
  <si>
    <t>เครื่องนาฬิกาชนิดวอตช์ที่สมบูรณ์และประกอบแล้ว</t>
  </si>
  <si>
    <t>เครื่องนาฬิกาชนิดคล็อกที่สมบูรณ์และประกอบแล้ว</t>
  </si>
  <si>
    <t>เครื่องนาฬิกาชนิดวอตช์ที่สมบูรณ์แล้วซึ่งยังไม่ประกอบหรือประกอบเพียงบางส่วน (ชุดเครื่องนาฬิกา) และเครื่องนาฬิกาชนิดวอตช์ที่ยังไม่สมบูรณ์ซึ่งประกอบแล้ว</t>
  </si>
  <si>
    <t>เครื่องนาฬิกาชนิดวอตช์ที่ทำมาอย่างคร่าวๆ</t>
  </si>
  <si>
    <t>เครื่องนาฬิกาชนิดคล็อกที่สมบูรณ์แล้ว ซึ่งยังไม่ประกอบหรือประกอบเพียงบางส่วน (ชุดเครื่องนาฬิกา) เครื่องนาฬิกาชนิดคล็อกที่ยังไม่สมบูรณ์ซึ่งประกอบแล้ว และเครื่องนาฬิกาชนิดคล็อกที่ทำมาอย่างคร่าวๆ</t>
  </si>
  <si>
    <t>ตัวเรือนนาฬิกาชนิดวอตช์และชนิดคล็อก และส่วนประกอบของตัวเรือนดังกล่าว</t>
  </si>
  <si>
    <t>ส่วนประกอบอื่นๆ ของนาฬิกาชนิดคล็อกหรือชนิดวอตช์ เช่น สปริง  ใยนาฬิกา อัญมณี หน้าปัด แผ่นรองและแผ่นเชื่อม (บริดจ์) เป็นต้น</t>
  </si>
  <si>
    <t>บริการรับจ้างเหมาที่เป็นส่วนหนึ่งของการผลิตนาฬิกา</t>
  </si>
  <si>
    <t>ผลิตภัณฑ์อื่นๆ ที่มีเครื่องนาฬิกาประกอบอยู่</t>
  </si>
  <si>
    <t>นาฬิกาจับเวลา</t>
  </si>
  <si>
    <t>เครื่องลงเวลา เครื่องบันทึกเวลา มิเตอร์จอดรถ และสวิตช์ตั้งเวลาที่มีเครื่องนาฬิกาชนิดคล็อกหรือชนิดวอตช์</t>
  </si>
  <si>
    <t>บริการรับจ้างเหมาที่เป็นส่วนหนึ่งของการผลิตผลิตภัณฑ์อื่นๆ ที่มีเครื่องนาฬิกาประกอบอยู่</t>
  </si>
  <si>
    <t>เครื่องฉายรังสี เครื่องไฟฟ้าทางการแพทย์และทางกายภาพบำบัด</t>
  </si>
  <si>
    <t>เครื่องฉายรังสี  เครื่องไฟฟ้าทางการแพทย์และทางกายภาพบำบัด</t>
  </si>
  <si>
    <t>เครื่องอุปกรณ์ที่ใช้ในการแผ่เอกซเรย์หรือการแผ่รังสีแอลฟา เบตา หรือแกมมาเป็นหลัก จะใช้ประโยชน์ทางการแพทย์ ศัลยกรรม       ทันตกรรม หรือสัตวแพทย์ หรือไม่ก็ตาม รวมถึงเครื่องบันทึกภาพรังสีหรือเครื่องรังสีบำบัด หลอดเอกซเรย์ และเครื่องกำเนิดเอกซเรย์อื่นๆ เครื่องกำเนิดไฟฟ้าแรงสูงของเครื่องเอกซเรย์ แผงควบคุมและโต๊ะควบคุม จอ โต๊ะ เก้าอี้ และของที่คล้ายกันที่ใช้ในการตรวจหรือรักษาด้วยเอกซเรย์</t>
  </si>
  <si>
    <t>เครื่องวินิจฉัยโรคด้วยไฟฟ้า (รวมถึงเครื่องตรวจสอบการทำงานของอวัยวะต่างๆ หรือเครื่องตรวจวัดตัวแปรทางสรีรวิทยา) เช่น เครื่องบันทึกคลื่นหัวใจไฟฟ้า เครื่องกวาดตรวจด้วยอัลตราโซนิก เครื่องตรวจสอบอวัยวะโดยใช้พลังงานจากสนามแม่เหล็ก เครื่องซินทิกราฟิก เป็นต้น</t>
  </si>
  <si>
    <t>เครื่องรังสีอัลตราไวโอเลตหรืออินฟราเรด</t>
  </si>
  <si>
    <t>เครื่องช่วยฟัง เครื่องคุมจังหวะสำหรับกระตุ้นกล้ามเนื้อหัวใจ และเครื่องใช้อื่นๆ ที่ใช้สวม พก หรือฝังในร่างกาย เพื่อทดแทนความผิดปกติหรือความพิการ</t>
  </si>
  <si>
    <t>บริการรับจ้างเหมาที่เป็นส่วนหนึ่งของการผลิตเครื่องฉายรังสี เครื่องไฟฟ้าทางการแพทย์และทางกายภาพบำบัด</t>
  </si>
  <si>
    <t>อุปกรณ์ที่ใช้ในทางทัศนศาสตร์และอุปกรณ์ถ่ายภาพ</t>
  </si>
  <si>
    <t>เลนส์ที่ใช้ในทางทัศนศาสตร์</t>
  </si>
  <si>
    <t>แผ่นบางและแผ่นที่ทำจากวัตถุโพลาไรส์  เลนส์ ปริซึม กระจก และวัตถุเชิงทัศนศาสตร์อื่นๆ (ยกเว้นที่ทำจากแก้วที่ไม่ได้ตกแต่งเพื่อใช้งานทางทัศนศาสตร์) ที่จะประกอบหรือไม่ก็ตาม</t>
  </si>
  <si>
    <t>เลนส์ใกล้วัตถุ สำหรับกล้องถ่าย เครื่องฉาย หรือเครื่องขยายหรือย่อภาพถ่าย</t>
  </si>
  <si>
    <t>เลนส์ใกล้วัตถุอื่นๆ (ยกเว้นสำหรับกล้องถ่าย เครื่องฉาย หรือเครื่องขยายหรือย่อภาพถ่าย และเครื่องฉายภาพยนตร์)  ฟิลเตอร์  เลนส์ และปริซึมสำหรับประภาคารหรือกระโจมไฟ  รวมถึงเลนส์ ปริซึม    กระจกเงา และวัตถุเชิงทัศนศาสตร์อื่นๆ สำหรับเครื่องฉายภาพยนตร์     กล้องถ่ายภาพยนตร์ กล้องถ่ายรูป เครื่องฉายอื่นๆ และอุปกรณ์ทางการแพทย์และทางศัลยกรรม</t>
  </si>
  <si>
    <t>แผ่นบางและแผ่นที่ทำจากวัตถุโพลาไรส์ รวมถึงปริซึม กระจกเงา และวัตถุเชิงทัศนศาสตร์อื่นๆ ที่ทำจากวัตถุใดก็ตาม ไม่ได้ประกอบ สำหรับกล้องถ่ายรูปหรือกล้องถ่ายภาพยนตร์หรือเครื่องฉายภาพยนตร์ (ยกเว้นของดังกล่าวที่ทำจากแก้วที่ไม่ได้ตกแต่งเพื่อใช้งานทางทัศนศาสตร์)</t>
  </si>
  <si>
    <t>บริการรับจ้างเหมาที่เป็นส่วนหนึ่งของการผลิตเลนส์ที่ใช้ในทางทัศนศาสตร์</t>
  </si>
  <si>
    <t>อุปกรณ์ที่ใช้ในทางทัศนศาสตร์ (ยกเว้นเลนส์ที่ใช้ในทางทัศนศาสตร์)</t>
  </si>
  <si>
    <t>กล้องสองตา กล้องตาเดียว กล้องส่องทางไกลเชิงทัศนศาสตร์อื่นๆ อุปกรณ์ดาราศาสตร์อื่นๆ และกล้องจุลทรรศน์แบบใช้เลนส์</t>
  </si>
  <si>
    <t>กลอุปกรณ์ทำจากผลึกเหลวที่ไม่ได้เป็นของซึ่งจัดประเภทไว้ในที่อื่น เลเซอร์ (ยกเว้นเลเซอร์ไดโอด)  รวมถึงเครื่องใช้และอุปกรณ์อื่นๆ เชิงทัศนศาสตร์ที่ไม่ได้จัดประเภทไว้ในที่อื่น เช่น กล้องเล็งสำหรับติดกับปืน เป็นต้น</t>
  </si>
  <si>
    <t>ส่วนประกอบและอุปกรณ์ประกอบของอุปกรณ์ที่ใช้ในทางทัศนศาสตร์ (ยกเว้นเลนส์ที่ใช้ในทางทัศนศาสตร์)</t>
  </si>
  <si>
    <t>ส่วนประกอบและอุปกรณ์ประกอบของกล้องสองตา กล้องตาเดียว กล้องส่องทางไกลเชิงทัศนศาสตร์อื่นๆ อุปกรณ์ดาราศาสตร์อื่นๆ และกล้องจุลทรรศน์แบบใช้เลนส์</t>
  </si>
  <si>
    <t>ส่วนประกอบและอุปกรณ์ประกอบของกลอุปกรณ์ทำจากผลึกเหลว ที่ไม่ได้เป็นของซึ่งจัดประเภทไว้ในที่อื่น เลเซอร์ (ยกเว้นเลเซอร์ไดโอด) รวมถึงเครื่องใช้และอุปกรณ์อื่นๆ เชิงทัศนศาสตร์ ซึ่งมิได้จัดประเภทไว้ในที่อื่น</t>
  </si>
  <si>
    <t>บริการรับจ้างเหมาที่เป็นส่วนหนึ่งของการผลิตอุปกรณ์ที่ใช้ในทางทัศนศาสตร์ (ยกเว้นเลนส์ที่ใช้ในทางทัศนศาสตร์)</t>
  </si>
  <si>
    <t>อุปกรณ์ถ่ายภาพและถ่ายภาพยนตร์</t>
  </si>
  <si>
    <t>กล้องถ่ายรูปชนิดที่ใช้สำหรับการเตรียมเพลตหรือลูกกลิ้งที่ใช้ในการพิมพ์ กล้องถ่ายรูปที่ออกแบบเป็นพิเศษสำหรับใช้ใต้น้ำ สำหรับการสำรวจทางอากาศ หรือสำหรับใช้ในทางการแพทย์หรือศัลยกรรมเพื่อตรวจสอบอวัยวะภายใน และกล้องถ่ายรูปชนิดที่ใช้ทำภาพเชิงซ้อนเพื่อวัตถุประสงค์ในทางนิติวิทยาหรืออาชญาวิทยา</t>
  </si>
  <si>
    <t>กล้องถ่ายบันทึกภาพดิจิทัล</t>
  </si>
  <si>
    <t>กล้องถ่ายรูปชนิดที่ถ่ายแล้วได้ภาพทันที กล้องถ่ายรูปที่มีช่องมองภาพแบบผ่านเลนส์ (ซิงเกิลเลนส์รีเฟลกซ์ (เอสแอลอาร์)) กล้องถ่ายรูปชนิดที่ใช้สำหรับบันทึกเอกสารบนไมโครฟิล์ม ไมโครฟิล หรือไมโครฟอร์มอื่นๆ กล้องถ่ายรูปที่มีเลเซอร์โฟโตพล็อตเตอร์หรือเครื่องสร้างภาพที่มีตัวประมวลผลภาพเรสเตอร์ และกล้องถ่ายรูปอื่นๆ ซึ่งมิได้จัดประเภทไว้ในที่อื่น</t>
  </si>
  <si>
    <t>กล้องถ่ายภาพยนตร์</t>
  </si>
  <si>
    <t>เครื่องฉายภาพยนตร์ เครื่องฉายสไลด์ และเครื่องฉายภาพนิ่งอื่นๆ</t>
  </si>
  <si>
    <t>เครื่องไฟแฟลช เครื่องขยายภาพ เครื่องอุปกรณ์ที่ใช้ตามห้องปฏิบัติการภาพถ่าย เนกาโตสโกป และจอฉายภาพ</t>
  </si>
  <si>
    <t>เครื่องอ่านไมโครฟิล์ม ไมโครฟิช หรือไมโครฟอร์มอื่นๆ จะทำสำเนาได้หรือไม่ก็ตาม</t>
  </si>
  <si>
    <t>ส่วนประกอบและอุปกรณ์ประกอบของกล้องถ่ายภาพ</t>
  </si>
  <si>
    <t>บริการรับจ้างเหมาที่เป็นส่วนหนึ่งของการผลิตอุปกรณ์ถ่ายภาพและถ่ายภาพยนตร์</t>
  </si>
  <si>
    <t>สื่อแม่เหล็กและสื่อเชิงแสง</t>
  </si>
  <si>
    <t>สื่อบันทึกที่ใช้แม่เหล็ก ที่ยังไม่ได้บันทึก เช่น เทปแม่เหล็กสำหรับ เครื่องคอมพิวเตอร์ วิดีโอเทป จานแม่เหล็ก เป็นต้น (ยกเว้นบัตรที่มีแถบแม่เหล็กประกอบร่วมอยู่ด้วย) รวมถึงแม่แบบและต้นแบบสำหรับการผลิตสื่อบันทึกที่ใช้แม่เหล็ก</t>
  </si>
  <si>
    <t>สื่อบันทึกที่ใช้แสง ที่ยังไม่ได้บันทึก เช่น จานบันทึกสำหรับใช้กับระบบอ่านด้วยเลเซอร์ เป็นต้น รวมถึงแม่แบบและต้นแบบสำหรับการผลิตสื่อบันทึกที่ใช้แสง</t>
  </si>
  <si>
    <t>สื่อบันทึกที่ใช้สารกึ่งตัวนำ</t>
  </si>
  <si>
    <t>บัตรที่มีแถบแม่เหล็กประกอบร่วมอยู่ด้วย</t>
  </si>
  <si>
    <t>สื่อบันทึกอื่นๆ</t>
  </si>
  <si>
    <t>บริการรับจ้างเหมาที่เป็นส่วนหนึ่งของการผลิตสื่อแม่เหล็กและสื่อเชิงแสง</t>
  </si>
  <si>
    <t>อุปกรณ์ไฟฟ้า</t>
  </si>
  <si>
    <t>มอเตอร์ไฟฟ้า เครื่องกำเนิดไฟฟ้า หม้อแปลงไฟฟ้า และอุปกรณ์ควบคุมและจ่ายไฟฟ้า</t>
  </si>
  <si>
    <t>มอเตอร์ไฟฟ้าและเครื่องกำเนิดไฟฟ้า</t>
  </si>
  <si>
    <t>มอเตอร์ที่ให้กำลังไม่เกิน 37.5 วัตต์ และมอเตอร์กระแสตรงอื่นๆ รวมถึงเครื่องกำเนิดไฟฟ้ากระแสตรง</t>
  </si>
  <si>
    <t>มอเตอร์ยูนิเวอร์แซลกระแสสลับ/กระแสตรง ที่ให้กำลังเกิน 37.5 วัตต์ และมอเตอร์กระแสสลับอื่นๆ รวมถึงเครื่องกำเนิดไฟฟ้ากระแสสลับ</t>
  </si>
  <si>
    <t xml:space="preserve">มอเตอร์ยูนิเวอร์แซลกระแสสลับ/กระแสตรงที่ให้กำลังเกิน 37.5 วัตต์ </t>
  </si>
  <si>
    <t>มอเตอร์กระแสสลับอื่นๆ ชนิดเฟสเดียว</t>
  </si>
  <si>
    <t>มอเตอร์กระแสสลับอื่นๆ ชนิดหลายเฟส ที่ให้กำลังไม่เกิน 750 วัตต์</t>
  </si>
  <si>
    <t>มอเตอร์กระแสสลับอื่นๆ ชนิดหลายเฟส ที่ให้กำลังเกิน 750 วัตต์ แต่ไม่เกิน 75 กิโลวัตต์</t>
  </si>
  <si>
    <t>มอเตอร์กระแสสลับ ชนิดหลายเฟส ที่ให้กำลังเกิน 75 กิโลวัตต์</t>
  </si>
  <si>
    <t>เครื่องกำเนิดไฟฟ้ากระแสสลับ (อัลเทอร์เนเตอร์)</t>
  </si>
  <si>
    <t>ชุดเครื่องกำเนิดไฟฟ้าและเครื่องเปลี่ยนไฟฟ้าชนิดหมุน</t>
  </si>
  <si>
    <t>ชุดเครื่องกำเนิดไฟฟ้าที่มีเครื่องยนต์สันดาปภายในแบบลูกสูบชนิดจุดระเบิดด้วยการอัด (เครื่องยนต์ดีเซลหรือกึ่งดีเซล)</t>
  </si>
  <si>
    <t>ชุดเครื่องกำเนิดไฟฟ้าที่มีเครื่องยนต์สันดาปภายในแบบลูกสูบชนิดจุดระเบิดด้วยประกายไฟ  ชุดเครื่องกำเนิดไฟฟ้าอื่นๆ (ยกเว้นขับด้วยกำลังลม) และเครื่องเปลี่ยนไฟฟ้าชนิดหมุน (โรตารีคอนเวอร์เตอร์)</t>
  </si>
  <si>
    <t xml:space="preserve">ส่วนประกอบของมอเตอร์ไฟฟ้าและเครื่องกำเนิดไฟฟ้า </t>
  </si>
  <si>
    <t>บริการรับจ้างเหมาที่เป็นส่วนหนึ่งของการผลิตมอเตอร์ไฟฟ้าและเครื่องกำเนิดไฟฟ้า</t>
  </si>
  <si>
    <t>หม้อแปลงไฟฟ้า</t>
  </si>
  <si>
    <t>หม้อแปลงไฟฟ้าชนิดไดอิเล็กทริกเหลว</t>
  </si>
  <si>
    <t>หม้อแปลงไฟฟ้าอื่นๆ ที่มีขนาดกำลังจ่ายไม่เกิน 16 เควีเอ เช่น หม้อแปลงศักย์ไฟฟ้าสำหรับเครื่องมือวัด หม้อแปลงกระแสไฟฟ้าสำหรับเครื่องมือวัด หม้อแปลงแบบฟลายแบ็ก หม้อแปลงแบบความถี่กลาง หม้อแปลงแบบสเต็ปอัพ/สเต็ปดาวน์ แบบสไลด์เรกูเลเตอร์ แบบสเตบิไลเซอร์ และหม้อแปลงไฟฟ้าชนิดที่ใช้กับของเล่น หุ่นจำลองย่อขนาดหรือหุ่นจำลองคล้ายกันเพื่อนันทนาการ เป็นต้น</t>
  </si>
  <si>
    <t xml:space="preserve">หม้อแปลงไฟฟ้าอื่นๆ ที่มีขนาดกำลังจ่ายเกิน 16 เควีเอ </t>
  </si>
  <si>
    <t>บัลลาสต์สำหรับหลอดไฟฟ้าแบบดิสชาร์จ เครื่องเปลี่ยนไฟฟ้าชนิดอยู่คงที่ (เช่น เครื่องกลับกระแสไฟฟ้าอื่นๆ เครื่องผกผัน (อินเวอร์เตอร์)) และตัวเหนี่ยวนำอื่นๆ (เช่น ตัวเหนี่ยวนำสำหรับแหล่งจ่ายกำลังสำหรับเครื่องประมวลผลข้อมูลอัตโนมัติและเครื่องอุปกรณ์โทรคมนาคม ตัวเหนี่ยวนำค่าคงที่แบบชิพ)</t>
  </si>
  <si>
    <t>ส่วนประกอบของหม้อแปลงไฟฟ้า เครื่องเปลี่ยนไฟฟ้าชนิดอยู่คงที่(สแตติกคอนเวอร์เตอร์) และตัวเหนี่ยวนำ</t>
  </si>
  <si>
    <t>บริการรับจ้างเหมาที่เป็นส่วนหนึ่งของการผลิตหม้อแปลงไฟฟ้า</t>
  </si>
  <si>
    <t>อุปกรณ์ควบคุมและจ่ายไฟฟ้า</t>
  </si>
  <si>
    <t>เครื่องอุปกรณ์ไฟฟ้าสำหรับตัดต่อหรือป้องกันวงจรไฟฟ้าหรือสำหรับต่อกับวงจรไฟฟ้าหรือต่อภายในวงจรไฟฟ้า สำหรับแรงดันไฟฟ้าเกิน1,000 โวลต์ (เช่น ฟิวส์ เครื่องตัดวงจรอัตโนมัติ สวิตช์สำหรับแยกวงจร (ไอโซเลติงสวิตช์) และสวิตช์สำหรับตัดและต่อ (เมกแอนด์เบรกสวิตช์) เครื่องป้องกันฟ้าผ่า เครื่องจำกัดแรงดันไฟฟ้า เครื่องกำจัดกระแสเซอร์จ บุชชิงแอสแซมบลีและแท้ปเชนเจอร์แอสแซมบลีสำหรับหม้อแปลงจ่ายไฟฟ้าและหม้อแปลงกำลัง เต้าเสียบและที่รับเต้าเสียบ ตู้ชุมสายไฟฟ้า เป็นต้น)</t>
  </si>
  <si>
    <t>เครื่องอุปกรณ์ไฟฟ้าสำหรับตัดต่อหรือป้องกันวงจรไฟฟ้า สำหรับแรงดันไฟฟ้าไม่เกิน 1,000 โวลต์</t>
  </si>
  <si>
    <t xml:space="preserve">ฟิวส์ </t>
  </si>
  <si>
    <t xml:space="preserve">เครื่องตัดวงจรอัตโนมัติ </t>
  </si>
  <si>
    <t xml:space="preserve">เครื่องอุปกรณ์อื่นๆ สำหรับป้องกันวงจรไฟฟ้า </t>
  </si>
  <si>
    <t xml:space="preserve">รีเลย์ </t>
  </si>
  <si>
    <t>แป้น แผง คอนโซล โต๊ะ ตู้ และฐานรองรับอื่นๆ ที่ติดตั้งด้วยเครื่องอุปกรณ์ไฟฟ้าสำหรับตัดต่อหรือป้องกันวงจรไฟฟ้าตั้งแต่สองชนิดขึ้นไปเพื่อควบคุมไฟฟ้าหรือเพื่อจ่ายกระแสไฟฟ้า</t>
  </si>
  <si>
    <t>สำหรับแรงดันไฟฟ้าไม่เกิน 1,000 โวลต์</t>
  </si>
  <si>
    <t>สำหรับแรงดันไฟฟ้าเกิน 1,000 โวลต์</t>
  </si>
  <si>
    <t>ส่วนประกอบของอุปกรณ์ควบคุมและจ่ายไฟฟ้า</t>
  </si>
  <si>
    <t>บริการรับจ้างเหมาที่เป็นส่วนหนึ่งของการผลิตอุปกรณ์ควบคุมและจ่ายไฟฟ้า</t>
  </si>
  <si>
    <t>แบตเตอรี่และหม้อสะสมไฟฟ้า</t>
  </si>
  <si>
    <t>เซลปฐมภูมิและแบตเตอรี่ปฐมภูมิ</t>
  </si>
  <si>
    <t>หม้อสะสมไฟฟ้า</t>
  </si>
  <si>
    <t>หม้อสะสมไฟฟ้าเลดแอซิด ชนิดที่ใช้สำหรับสตาร์ตเครื่องยนต์แบบลูกสูบ</t>
  </si>
  <si>
    <t>หม้อสะสมไฟฟ้าเลดแอซิดอื่นๆ (ยกเว้นชนิดที่ใช้สำหรับสตาร์ตเครื่องยนต์แบบลูกสูบ)</t>
  </si>
  <si>
    <t>หม้อสะสมไฟฟ้านิกเกิลแคดเมียม นิกเกิลเหล็ก และหม้อสะสมไฟฟ้าอื่นๆ</t>
  </si>
  <si>
    <t>ส่วนประกอบของแบตเตอรี่และหม้อสะสมไฟฟ้า</t>
  </si>
  <si>
    <t>ส่วนประกอบของเซลปฐมภูมิและแบตเตอรี่ปฐมภูมิ</t>
  </si>
  <si>
    <t>ส่วนประกอบของหม้อสะสมไฟฟ้า รวมถึงแผ่นกั้นแบตเตอรี่</t>
  </si>
  <si>
    <t>บริการรับจ้างเหมาที่เป็นส่วนหนึ่งของการผลิตแบตเตอรี่และหม้อสะสมไฟฟ้า</t>
  </si>
  <si>
    <t>สายไฟและอุปกรณ์การเดินสายไฟฟ้า</t>
  </si>
  <si>
    <t>เคเบิลใยแก้วนำแสง</t>
  </si>
  <si>
    <t>เคเบิลใยแก้วนำแสง ที่ทำจากกลุ่มเส้นใยที่หุ้มปลอกแต่ละเส้น</t>
  </si>
  <si>
    <t>เส้นใยนำแสงและกลุ่มเส้นใยนำแสง เคเบิลใยแก้วนำแสง (ยกเว้นที่ทำจากกลุ่มเส้นใยที่หุ้มปลอกแต่ละเส้น)</t>
  </si>
  <si>
    <t xml:space="preserve">บริการรับจ้างเหมาที่เป็นส่วนหนึ่งของการผลิตเคเบิลใยแก้วนำแสง </t>
  </si>
  <si>
    <t xml:space="preserve">บริการรับจ้างเหมาที่เป็นส่วนหนึ่งของการผลิตเคเบิลใยแก้วนำแสง  </t>
  </si>
  <si>
    <t>สายไฟและเคเบิลอื่นๆ ชนิดใช้ในทางอิเล็กทรอนิกส์และไฟฟ้า</t>
  </si>
  <si>
    <t>ลวดไฟฟ้าสำหรับพันที่หุ้มฉนวน</t>
  </si>
  <si>
    <t xml:space="preserve">เคเบิลร่วมแกนและตัวนำไฟฟ้าร่วมแกนอื่นๆ </t>
  </si>
  <si>
    <t>ตัวนำไฟฟ้าอื่นๆ สำหรับใช้กับแรงดันไฟฟ้าไม่เกิน 1,000 โวลต์</t>
  </si>
  <si>
    <t>ตัวนำไฟฟ้าอื่นๆ สำหรับใช้กับแรงดันไฟฟ้าเกิน 1,000 โวลต์</t>
  </si>
  <si>
    <t>บริการรับจ้างเหมาที่เป็นส่วนหนึ่งของการผลิตสายไฟและเคเบิลอื่นๆ ชนิดใช้ในทางอิเล็กทรอนิกส์และไฟฟ้า</t>
  </si>
  <si>
    <t>อุปกรณ์การเดินสายไฟฟ้า</t>
  </si>
  <si>
    <t xml:space="preserve">สวิตช์ สำหรับแรงดันไฟฟ้าไม่เกิน 1,000 โวลต์ </t>
  </si>
  <si>
    <t>กระจุ๊บหลอดไฟฟ้า สำหรับแรงดันไฟฟ้าไม่เกิน 1,000 โวลต์</t>
  </si>
  <si>
    <t xml:space="preserve">ปลั๊ก เต้ารับ และอุปกรณ์อื่นๆ สำหรับตัดต่อหรือป้องกันวงจรไฟฟ้า ซึ่งมิได้จัดประเภทไว้ในที่อื่น </t>
  </si>
  <si>
    <t>อุปกรณ์ติดตั้ง (ฟิตติ้ง) ที่เป็นฉนวนไฟฟ้า ที่ทำจากพลาสติก</t>
  </si>
  <si>
    <t>บริการรับจ้างเหมาที่เป็นส่วนหนึ่งของการผลิตอุปกรณ์การเดินสายไฟฟ้า</t>
  </si>
  <si>
    <t>อุปกรณ์ไฟฟ้าสำหรับให้แสงสว่าง</t>
  </si>
  <si>
    <t>หลอดไฟฟ้า</t>
  </si>
  <si>
    <t>หลอดไฟฟ้าแบบซีลบีม</t>
  </si>
  <si>
    <t>หลอดไฟฟ้าไส้ทังสเตนฮาโลเจน (ยกเว้นหลอดอัลตราไวโอเลตหรือหลอดอินฟาเรด)</t>
  </si>
  <si>
    <t>หลอดไฟฟ้าแบบมีไส้ ที่มีกำลังไม่เกิน 200 วัตต์ และสำหรับใช้กับแรงดันไฟฟ้าเกิน 100 โวลต์</t>
  </si>
  <si>
    <t>หลอดไฟฟ้าแบบมีไส้อื่นๆ</t>
  </si>
  <si>
    <t>หลอดไฟฟ้าแบบดิสชาร์จ (เช่น หลอดฟลูออเรสเซนต์ชนิดฮอตแคโทด หลอดไฟฟ้าบรรจุไอปรอทหรือไอโซเดียม หลอดไฟฟ้าแบบโลหะฮาไลด์ หลอดไฟฟ้าสำหรับโคมคอมแพคฟลูออเรสเซนต์ หลอดไฟฟ้าสำหรับยานยนต์หรือรถจักรยาน เป็นต้น)  หลอดอัลตราไวโอเลตหรือหลอดอินฟาเรดและอาร์กแลมป์</t>
  </si>
  <si>
    <t>ส่วนประกอบของหลอดไฟฟ้า</t>
  </si>
  <si>
    <t>บริการรับจ้างเหมาที่เป็นส่วนหนึ่งของการผลิตหลอดไฟฟ้า</t>
  </si>
  <si>
    <t>อุปกรณ์ไฟฟ้าอื่นๆ สำหรับให้แสงสว่าง</t>
  </si>
  <si>
    <t>เครื่องประทีปโคมไฟ</t>
  </si>
  <si>
    <t>โคมไฟฟ้าชนิดมือถือที่ออกแบบให้ทำงานโดยใช้แหล่งพลังงานในตัว (เช่น แบตเตอรี่แห้ง หม้อสะสมไฟฟ้า แมกนีโต) เช่น โคมบนหมวกสำหรับคนงานในเหมือง โคมสำหรับคนงานเหมืองหิน ไฟฉาย เป็นต้น</t>
  </si>
  <si>
    <t>ตะเกียงไฟฟ้าหรือโคมไฟฟ้าชนิดที่ใช้กับโต๊ะ โต๊ะเขียนหนังสือ ตู้ข้างเตียง หรือตั้งบนพื้น</t>
  </si>
  <si>
    <t>เครื่องประทีปโคมไฟอื่นๆ ที่ไม่ใช้ไฟฟ้า เช่น ตะเกียงเจ้าพายุ ตะเกียงใช้น้ำมันเป็นเชื้อเพลิงเผาไหม้ เป็นต้น</t>
  </si>
  <si>
    <t>โคมระย้าและโคมไฟฟ้าอื่นๆ สำหรับติดเพดานหรือผนัง (ยกเว้นของดังกล่าวชนิดที่ใช้สำหรับให้แสงสว่างแก่ที่สาธารณะกลางแจ้งหรือถนนหลวง)</t>
  </si>
  <si>
    <t>เครื่องประทีปโคมไฟอื่นๆ</t>
  </si>
  <si>
    <t>ชุดไฟตกแต่งชนิดที่ใช้กับต้นคริสต์มาส</t>
  </si>
  <si>
    <t>เซิร์ชไลต์และสปอตไลต์</t>
  </si>
  <si>
    <t>เครื่องประทีปโคมไฟอื่นๆ ที่ใช้ไฟฟ้า</t>
  </si>
  <si>
    <t>ส่วนประกอบของอุปกรณ์ไฟฟ้าอื่นๆ สำหรับให้แสงสว่าง</t>
  </si>
  <si>
    <t>บริการรับจ้างเหมาที่เป็นส่วนหนึ่งของการผลิตอุปกรณ์ไฟฟ้าอื่นๆ สำหรับให้แสงสว่าง</t>
  </si>
  <si>
    <t>เครื่องใช้ในครัวเรือน</t>
  </si>
  <si>
    <t>เครื่องใช้ไฟฟ้าชนิดใช้ในครัวเรือน (ยกเว้นชนิดที่ให้ความร้อน)</t>
  </si>
  <si>
    <t>ตู้เย็น ตู้แช่แข็ง เครื่องซักล้าง และพัดลม ชนิดใช้ในครัวเรือน</t>
  </si>
  <si>
    <t>ตู้เย็น ตู้แช่แข็ง และตู้เย็นที่มีตู้แช่แข็งประกอบอยู่ด้วยกันโดยมีประตูนอกแยกกัน ชนิดใช้ในครัวเรือน</t>
  </si>
  <si>
    <t>เครื่องล้างจาน ชนิดใช้ในครัวเรือน</t>
  </si>
  <si>
    <t>เครื่องซักผ้าและเครื่องทำให้ผ้าแห้ง ชนิดใช้ในครัวเรือน</t>
  </si>
  <si>
    <t>พัดลมและเครื่องระบายหรือเครื่องหมุนเวียนอากาศที่มีด้านตามแนวนอนยาวที่สุดไม่เกิน 120 เซนติเมตร ชนิดใช้ในครัวเรือน</t>
  </si>
  <si>
    <t>เครื่องใช้ไฟฟ้าอื่นๆ ชนิดใช้ในครัวเรือน (ยกเว้นชนิดที่ให้ความร้อน)</t>
  </si>
  <si>
    <t>เครื่องใช้กลไฟฟ้า ชนิดใช้ในครัวเรือน ที่มีมอเตอร์ไฟฟ้าในตัว</t>
  </si>
  <si>
    <t>เครื่องโกนหนวดไฟฟ้า ปัตตาเลี่ยน และเครื่องขจัดขน ที่มีมอเตอร์ไฟฟ้าในตัว</t>
  </si>
  <si>
    <t>ส่วนประกอบของเครื่องใช้ไฟฟ้าชนิดใช้ในครัวเรือน (ยกเว้นชนิดที่ให้ความร้อน)</t>
  </si>
  <si>
    <t>ส่วนประกอบของตู้เย็น ตู้แช่ เครื่องซักล้าง และพัดลม ชนิดใช้ในครัวเรือน</t>
  </si>
  <si>
    <t>ส่วนประกอบของเครื่องใช้ไฟฟ้าอื่นๆ ชนิดใช้ในครัวเรือน (ยกเว้นชนิดที่ให้ความร้อน)</t>
  </si>
  <si>
    <t>บริการรับจ้างเหมาที่เป็นส่วนหนึ่งของการผลิตเครื่องใช้ไฟฟ้าชนิดใช้ในครัวเรือน (ยกเว้นชนิดที่ให้ความร้อน)</t>
  </si>
  <si>
    <t>เครื่องใช้ไฟฟ้าชนิดใช้ในครัวเรือนที่ให้ความร้อน</t>
  </si>
  <si>
    <t>ผ้าห่มไฟฟ้า</t>
  </si>
  <si>
    <t>เครื่องอุปกรณ์แต่งผม (เครื่องเป่าผม) หรือเครื่องอุปกรณ์เป่ามือให้แห้งที่ให้ความร้อนด้วยไฟฟ้า และเตารีดไฟฟ้า</t>
  </si>
  <si>
    <t>เครื่องทำน้ำร้อนด้วยไฟฟ้าแบบทำน้ำร้อนชั่วขณะที่ใช้หรือแบบทำน้ำร้อนเก็บสะสม และเครื่องทำความร้อนด้วยไฟฟ้าแบบจุ่ม</t>
  </si>
  <si>
    <t>เครื่องอุปกรณ์ทำความร้อนด้วยไฟฟ้าให้แก่บรรยากาศรอบๆ และเครื่องอุปกรณ์ทำความร้อนด้วยไฟฟ้าให้แก่ดิน</t>
  </si>
  <si>
    <t>เตาอบไมโครเวฟ</t>
  </si>
  <si>
    <t>เตาอบอื่นๆ เตาที่มีหม้อหุงต้มในตัว แผ่นสำหรับหุงต้ม บอยลิงริง เตาย่างและเตาอบย่าง และหม้อหุงข้าว</t>
  </si>
  <si>
    <t>ตัวต้านทานสำหรับทำความร้อนด้วยไฟฟ้า</t>
  </si>
  <si>
    <t>เครื่องใช้อื่นๆ ที่ให้ความร้อนด้วยไฟฟ้า เช่น เครื่องต้มกาแฟหรือชา เครื่องปิ้งขนมปัง กาต้มน้ำ เป็นต้น</t>
  </si>
  <si>
    <t>ส่วนประกอบของเครื่องใช้ไฟฟ้าชนิดใช้ในครัวเรือนที่ให้ความร้อน</t>
  </si>
  <si>
    <t>บริการรับจ้างเหมาที่เป็นส่วนหนึ่งของการผลิตเครื่องใช้ไฟฟ้าชนิดใช้ในครัวเรือนที่ให้ความร้อน</t>
  </si>
  <si>
    <t>เครื่องใช้ในการประกอบอาหารและให้ความร้อนชนิดใช้ในครัวเรือนที่ไม่ใช้ไฟฟ้า</t>
  </si>
  <si>
    <t xml:space="preserve">เครื่องใช้ในการหุงต้ม และแผ่นใช้สำหรับอุ่นอาหาร สำหรับใช้ในครัวเรือนที่ไม่ใช้ไฟฟ้า </t>
  </si>
  <si>
    <t>เตาบาร์บีคิว เตาบราเซียร์ หัวเตาแก๊ส และเครื่องใช้อื่นๆ สำหรับใช้ในครัวเรือนที่ไม่ใช้ไฟฟ้า ทำจากเหล็กหรือเหล็กกล้า</t>
  </si>
  <si>
    <t>เครื่องทำอากาศร้อนและเครื่องจ่ายอากาศร้อน ที่ไม่ได้ทำความร้อนด้วยไฟฟ้า มีพัดลมหรือเครื่องเป่าลมที่ขับด้วยมอเตอร์ประกอบร่วมอยู่ด้วย ทำจากเหล็กหรือเหล็กกล้า</t>
  </si>
  <si>
    <t>เครื่องทำน้ำร้อนแบบทำน้ำร้อนชั่วขณะหรือแบบทำน้ำร้อนเก็บสะสม ที่ไม่ใช้ไฟฟ้า</t>
  </si>
  <si>
    <t>ส่วนประกอบของเครื่องใช้ในการประกอบอาหารและให้ความร้อน ชนิดที่ใช้ในครัวเรือน</t>
  </si>
  <si>
    <t>บริการรับจ้างเหมาที่เป็นส่วนหนึ่งของการผลิตเครื่องใช้ในการประกอบอาหารและให้ความร้อนชนิดใช้ในครัวเรือนที่ไม่ใช้ไฟฟ้า</t>
  </si>
  <si>
    <t>อุปกรณ์ไฟฟ้าอื่นๆ</t>
  </si>
  <si>
    <t>เครื่องจ่ายไฟฟ้าสำรอง</t>
  </si>
  <si>
    <t>เครื่องจ่ายไฟฟ้าสำรอง (UPS)</t>
  </si>
  <si>
    <t>บริการรับจ้างเหมาที่เป็นส่วนหนึ่งของการผลิตเครื่องจ่ายไฟฟ้าสำรอง</t>
  </si>
  <si>
    <t>อุปกรณ์ไฟฟ้าสำหรับให้สัญญาณ</t>
  </si>
  <si>
    <t>เครื่องหมายที่มีแสงสว่าง ป้ายชื่อที่มีแสงสว่าง และของที่คล้ายกัน</t>
  </si>
  <si>
    <t>แผงสัญญาณที่มีอุปกรณ์ซึ่งทำจากผลึกเหลว (แอลซีดี) หรือมีไดโอด เปล่งแสง (แอลอีดี) ประกอบร่วมอยู่ด้วย  กระดิ่งอิเล็กทรอนิกส์ กระดิ่งประตู และเครื่องอุปกรณ์สำหรับให้สัญญาณเสียงอื่นๆ จอแสดงผลแบบแบน (รวมถึงการเปล่งแสงด้วยไฟฟ้า พลาสมา และเทคโนโลยีอื่นๆ)</t>
  </si>
  <si>
    <t>เครื่องอุปกรณ์ไฟฟ้าสำหรับให้สัญญาณ ให้ความปลอดภัย หรือควบคุมการจราจร สำหรับใช้กับทางรถไฟ ทางรถราง ถนน แม่น้ำลำคลอง สถานที่จอดรถ ท่าเรือ หรือสนามบิน</t>
  </si>
  <si>
    <t>ส่วนประกอบของอุปกรณ์ไฟฟ้าสำหรับให้สัญญาณ</t>
  </si>
  <si>
    <t>บริการรับจ้างเหมาที่เป็นส่วนหนึ่งของการผลิตอุปกรณ์ไฟฟ้าสำหรับให้สัญญาณ</t>
  </si>
  <si>
    <t>อุปกรณ์ไฟฟ้าอื่นๆ ซึ่งมิได้จัดประเภทไว้ในที่อื่น</t>
  </si>
  <si>
    <t>เครื่องจักรและเครื่องอุปกรณ์ไฟฟ้า ซึ่งมีหน้าที่การทำงานเป็นเอกเทศ</t>
  </si>
  <si>
    <t>ฉนวนไฟฟ้า อุปกรณ์ติดตั้งที่เป็นฉนวนไฟฟ้าสำหรับเครื่องจักรและเครื่องอุปกรณ์ไฟฟ้า และท่อเดินสายไฟ</t>
  </si>
  <si>
    <t>คาร์บอนอิเล็กโทรด แปรงถ่าน คาร์บอนใช้กับหลอดไฟ คาร์บอนใช้กับแบตเตอรี่ และของอื่นๆ ที่ทำจากกราไฟต์หรือคาร์บอนอื่นๆ มีหรือไม่มีโลหะชนิดใช้ในทางไฟฟ้า</t>
  </si>
  <si>
    <t>เครื่องจักรและเครื่องอุปกรณ์สำหรับบัดกรี เป่าแล่น หรือเชื่อมโดยใช้ไฟฟ้า (รวมถึงใช้ก๊าซที่ทำให้ร้อนด้วยไฟฟ้า) ใช้ลำแสงเลเซอร์หรือลำแสงอื่นๆ โฟตอนบีม อัลตราโซนิก อิเล็กตรอนบีม ใช้แมกนีติกพัลส์หรือ พสาสมาอาร์ก ไม่ว่าจะใช้ตัดได้ด้วยหรือไม่ก็ตาม รวมถึงเครื่องจักรไฟฟ้าและเครื่องอุปกรณ์ไฟฟ้าสำหรับใช้ในงานพ่นร้อนโลหะหรือเซอร์เมต</t>
  </si>
  <si>
    <t>ตัวเก็บประจุไฟฟ้า ชนิดค่าคงที่ เปลี่ยนค่าได้ หรือปรับตั้งค่าได้</t>
  </si>
  <si>
    <t>ตัวเก็บประจุชนิดค่าคงที่ ซึ่งออกแบบสำหรับใช้กับวงจร 50/60 เฮิร์ตช์ และมีขนาดกำลังจ่ายรีแอกทีฟไม่น้อยกว่า 0.5 เควีเออาร์ (เพาเวอร์- คาพาซิเตอร์)</t>
  </si>
  <si>
    <t>ตัวเก็บประจุชนิดค่าคงที่อื่นๆ</t>
  </si>
  <si>
    <t>ตัวเก็บประจุชนิดเปลี่ยนค่าได้หรือปรับตั้งค่าได้ (พรีเซต)</t>
  </si>
  <si>
    <t>ตัวต้านทานไฟฟ้า รีโอสแตต และโพเทนซิโอมิเตอร์ (ยกเว้นตัวต้านทานสำหรับทำความร้อน)</t>
  </si>
  <si>
    <t>ส่วนประกอบของอุปกรณ์ไฟฟ้าอื่นๆ ซึ่งมิได้จัดประเภทไว้ในที่อื่น</t>
  </si>
  <si>
    <t>ส่วนประกอบของเครื่องจักรไฟฟ้าและเครื่องอุปกรณ์ไฟฟ้า ซึ่งมีหน้าที่การทำงานเป็นเอกเทศ ซึ่งมิได้จัดประเภทไว้ในทื่อื่น เช่น เครื่องเร่งอนุภาค เครื่องกำเนิดสัญญาณ เครื่องจักรและเครื่องอุปกรณ์สำหรับการชุบด้วยไฟฟ้า การแยกสารด้วยไฟฟ้า หรืออิเล็กโทรโฟริซิส เป็นต้น</t>
  </si>
  <si>
    <t>ส่วนประกอบของเครื่องจักรและเครื่องอุปกรณ์สำหรับบัดกรี เป่าแล่น หรือเชื่อมโดยใช้ไฟฟ้า และสำหรับใช้ในงานพ่นร้อนโลหะหรือโลหะ คาร์ไบด์แบบซินเตอร์</t>
  </si>
  <si>
    <t>ส่วนประกอบของตัวเก็บประจุไฟฟ้า ชนิดค่าคงที่ เปลี่ยนค่าได้ หรือปรับตั้งค่าได้</t>
  </si>
  <si>
    <t>ส่วนประกอบของตัวต้านทานไฟฟ้า รีโอสแตต และโพเทนซิโอมิเตอร์</t>
  </si>
  <si>
    <t>ส่วนประกอบของประกับ คลัตช์ เบรก หัวจับ แคลป์ และอุปกรณ์จับยึดที่คล้ายกัน ที่เป็นแม่เหล็กไฟฟ้าหรือแม่เหล็กถาวร</t>
  </si>
  <si>
    <t>ส่วนประกอบทางไฟฟ้าของเครื่องจักรหรือเครื่องอุปกรณ์ ซึ่งมิได้จัดประเภทไว้ในที่อื่น</t>
  </si>
  <si>
    <t>บริการรับจ้างเหมาที่เป็นส่วนหนึ่งของการผลิตอุปกรณ์ไฟฟ้าอื่นๆ ซึ่งมิได้จัดประเภทไว้ในที่อื่น</t>
  </si>
  <si>
    <t>เครื่องจักรและเครื่องมือ ซึ่งมิได้จัดประเภทไว้ในที่อื่น</t>
  </si>
  <si>
    <t>เครื่องจักรที่ใช้งานทั่วไป</t>
  </si>
  <si>
    <t>เครื่องยนต์และเครื่องกังหัน (ยกเว้น เครื่องยนต์ที่ใช้กับอากาศยาน ยานยนต์ และจักรยานยนต์)</t>
  </si>
  <si>
    <t>เครื่องยนต์ (ยกเว้น เครื่องยนต์ที่ใช้กับอากาศยาน ยานยนต์ และจักรยานยนต์)</t>
  </si>
  <si>
    <t>เครื่องยนต์ติดท้ายเรือ</t>
  </si>
  <si>
    <t>เครื่องยนต์ที่จุดระเบิดด้วยประกายไฟที่ใช้ในการขับเคลื่อนเรือและเครื่องยนต์อื่นๆ (เช่น เครื่องยนต์ที่ใช้กับหัวรถจักร)</t>
  </si>
  <si>
    <t>เครื่องยนต์สันดาปภายในแบบลูกสูบชนิดจุดระเบิดด้วยการอัด (เครื่องยนต์ดีเซลหรือกึ่งดีเซล) ที่ใช้ขับเคลื่อนเรือและเครื่องยนต์อื่นๆ เช่น หัวรถจักรที่เดินบนรางรถไฟหรือยานที่เดินบนรางรถราง และสำหรับเครื่องจักรที่ใช้งานกับดิน</t>
  </si>
  <si>
    <t>เครื่องกังหัน</t>
  </si>
  <si>
    <t>เครื่องกังหันไอน้ำและเครื่องกังหันไออื่นๆ</t>
  </si>
  <si>
    <t>เครื่องกังหันไฮดรอลิก ล้อน้ำ</t>
  </si>
  <si>
    <t>เครื่องกังหันก๊าซอื่นๆ (ยกเว้นเครื่องกังหันไอพ่นและเครื่องกังหันใบพัด)</t>
  </si>
  <si>
    <t>เครื่องกังหันลม</t>
  </si>
  <si>
    <t>ส่วนประกอบของเครื่องกังหัน</t>
  </si>
  <si>
    <t>ส่วนประกอบของเครื่องกังหันไอน้ำและเครื่องกังหันไออื่นๆ</t>
  </si>
  <si>
    <t>ส่วนประกอบของเครื่องกังหันไฮดรอลิก ล้อน้ำ และเครื่องควบคุม (เรกูเลเตอร์)</t>
  </si>
  <si>
    <t>ส่วนประกอบของเครื่องกังหันก๊าซอื่นๆ (ยกเว้นเครื่องกังหันไอพ่นและเครื่องกังหันใบพัด)</t>
  </si>
  <si>
    <t>ส่วนประกอบของเครื่องยนต์ (ยกเว้น เครื่องยนต์ที่ใช้กับอากาศยาน ยานยนต์ และจักรยานยนต์)</t>
  </si>
  <si>
    <t>ส่วนประกอบของเครื่องยนต์สันดาปภายในแบบลูกสูบที่จุดระเบิดด้วยประกายไฟ เช่น คาร์บูเรเตอร์ เสื้อสูบ แหวนลูกสูบ ก้านลูกสูบ ห้องข้อเหวี่ยง ลิ้นไอเสีย เป็นต้น</t>
  </si>
  <si>
    <t>ส่วนประกอบของเครื่องยนต์อื่นๆ ซึ่งมิได้จัดประเภทไว้ในที่อื่น</t>
  </si>
  <si>
    <t>บริการรับจ้างเหมาที่เป็นส่วนหนึ่งของการผลิตเครื่องยนต์และเครื่องกังหัน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</si>
  <si>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เครื่องอุปกรณ์ควบคุมกำลังของไหล</t>
  </si>
  <si>
    <t>เครื่องอุปกรณ์ควบคุมกำลังของไหล (ยกเว้นส่วนประกอบ)</t>
  </si>
  <si>
    <t>เครื่องยนต์และมอเตอร์ที่ใช้กำลังไฮดรอลิกและกำลังลมชนิดเคลี่อนที่ในแนวตรง (กระบอกสูบ)</t>
  </si>
  <si>
    <t>เครื่องยนต์และมอเตอร์ที่ใช้กำลังไฮดรอลิกและกำลังลมชนิดเคลื่อนที่แบบหมุนและอื่นๆ</t>
  </si>
  <si>
    <t>เครื่องสูบไฮดรอลิก</t>
  </si>
  <si>
    <t>วาล์วสำหรับใช้ในระบบส่งกำลังแบบโอลิโอไฮดรอลิกหรือนิวเมติก</t>
  </si>
  <si>
    <t>ชุดที่ประกอบด้วยไฮดรอลิก</t>
  </si>
  <si>
    <t>ระบบไฮดรอลิก</t>
  </si>
  <si>
    <t>ส่วนประกอบของเครื่องอุปกรณ์ควบคุมกำลังของไหล</t>
  </si>
  <si>
    <t>บริการรับจ้างเหมาที่เป็นส่วนหนึ่งของการผลิตเครื่องอุปกรณ์กำลังของไหล</t>
  </si>
  <si>
    <t>บริการรับจ้างเหมาที่เป็นส่วนหนึ่งของการผลิตเครื่องอุปกรณ์กำลัง</t>
  </si>
  <si>
    <t>เครื่องสูบ คอมเพรสเซอร์ ก๊อก และวาล์วอื่นๆ</t>
  </si>
  <si>
    <t>เครื่องสูบและคอมเพรสเซอร์อื่นๆ</t>
  </si>
  <si>
    <t>เครื่องสูบของเหลวและเครื่องตักยกของเหลว</t>
  </si>
  <si>
    <t>เครื่องสูบที่ติดหรือออกแบบสำหรับติดอุปกรณ์สำหรับวัด (เช่น เครื่องสูบ สำหรับจ่ายเชื้อเพลิงหรือสารหล่อลื่น ชนิดที่ใช้ในปั๊มน้ำมัน หรืออู่ซ่อมรถ) เครื่องสูบเชื้อเพลิง สารหล่อลื่น หรือตัวกลางทำความเย็นสำหรับเครื่องยนต์สันดาปภายในแบบลูกสูบ เครื่องสูบคอนกรีตและเครื่องสูบที่ใช้งานด้วยมือ (เช่น เครื่องสูบน้ำ)</t>
  </si>
  <si>
    <t>เครื่องสูบแบบลูกสูบเคลื่อนตรงอื่นๆ</t>
  </si>
  <si>
    <t>เครื่องสูบแบบลูกสูบหมุนอื่นๆ</t>
  </si>
  <si>
    <t>เครื่องสูบแบบหมุนเหวี่ยง (เซนติฟิวกัล) อื่นๆ (เช่น เครื่องสูบน้ำที่มีเพลาเดียวในแนวนอน เครื่องสูบน้ำตอนเดียว) และเครื่องสูบอื่นๆ รวมถึงเครื่องตักยกของเหลว</t>
  </si>
  <si>
    <t>เครื่องสูบอากาศหรือสุญญากาศ และเครื่องอัดลมหรือก๊าซอื่นๆ</t>
  </si>
  <si>
    <t>เครื่องสูบสุญญากาศ</t>
  </si>
  <si>
    <t>เครื่องสูบลมทำงานโดยใช้มือหรือเท้า เช่น เครื่องสูบลมจักรยาน เป็นต้น</t>
  </si>
  <si>
    <t>เครื่องอัดชนิดที่ใช้ในเครื่องทำความเย็น</t>
  </si>
  <si>
    <t>เครื่องอัดลมที่ติดตั้งบนแชสซีส์ที่มีล้อ ใช้สำหรับลากจูง</t>
  </si>
  <si>
    <t>เครื่องอัดลมแบบเทอร์โบ</t>
  </si>
  <si>
    <t>เครื่องอัดลมแบบลูกสูบเคลื่อนที่ตรง</t>
  </si>
  <si>
    <t>เครื่องอัดลมแบบลูกสูบหมุน ที่มีเพลาเดียวหรือหลายเพลา</t>
  </si>
  <si>
    <t>เครื่องอัดอื่นๆ เช่น เครื่องระบายหรือเครื่องหมุนเวียนอากาศ</t>
  </si>
  <si>
    <t>ส่วนประกอบของเครื่องสูบและคอมเพรสเซอร์</t>
  </si>
  <si>
    <t>ส่วนประกอบของเครื่องสูบและเครื่องตักยกของเหลว</t>
  </si>
  <si>
    <t>ส่วนประกอบของเครื่องสูบลมหรือเครื่องสูบสุญญากาศ เครื่องอัดลมหรือก๊าซ หรือพัดลม หรือเครื่องระบายอากาศ</t>
  </si>
  <si>
    <t>บริการรับจ้างเหมาที่เป็นส่วนหนึ่งของเครื่องสูบและคอมเพรสเซอร์อื่นๆ</t>
  </si>
  <si>
    <t>ก๊อกและวาล์วอื่นๆ</t>
  </si>
  <si>
    <t>วาล์วลดความดัน เช็ควาล์ว (นอนรีเทิร์นวาล์ว) วาล์วนิรภัย หรือรีลีฟวาล์ว</t>
  </si>
  <si>
    <t>แท้ป ก๊อก วาล์ว สำหรับอ่างล้างชาม อ่างล้างหน้า บิเด ถังน้ำชักโครกและอุปกรณ์ติดตั้งที่คล้ายกัน รวมถึงวาล์วสำหรับเครื่องกระจายความร้อนจากส่วนกลาง</t>
  </si>
  <si>
    <t>วาล์วควบคุมกระบวนการ วาล์วประตูน้ำ โกลบวาล์ว และวาล์วอื่นๆ</t>
  </si>
  <si>
    <t>ส่วนประกอบของก๊อกและวาล์วอื่นๆ</t>
  </si>
  <si>
    <t>บริการรับจ้างเหมาที่เป็นส่วนหนึ่งของการผลิตก๊อกและวาล์วอื่นๆ</t>
  </si>
  <si>
    <t>ตลับลูกปืน เกียร์ และอุปกรณ์ที่ใช้ขับเคลื่อน</t>
  </si>
  <si>
    <t>บอลล์แบริ่งหรือโรลเลอร์แบริ่ง</t>
  </si>
  <si>
    <t>แบริ่งอื่นๆ เกียร์ เครื่องเกียร์ และอุปกรณ์ที่ใช้ขับเคลื่อน</t>
  </si>
  <si>
    <t>โซ่ชนิดใช้ข้อต่อ (อาร์ทิคิวเลเต็ดลิงก์) ต่อกันเป็นข้อๆ ที่ทำจากเหล็กและเหล็กกล้า (เช่น โซ่สำหรับรถจักรยานยนต์และรถจักรยานสองล้อ)</t>
  </si>
  <si>
    <t>เพลาส่งกำลัง (รวมถึงเพลาลูกเบี้ยวและเพลาข้อเหวี่ยง) และข้อเหวี่ยง</t>
  </si>
  <si>
    <t>ตุ๊กตา จะมีบอลล์แบริ่งหรือโรงเลอร์แบริ่งประกอบร่วมอยู่ด้วยหรือไม่ก็ตาม รวมถึงเพลนซาฟต์แบริ่ง</t>
  </si>
  <si>
    <t>เกียร์และเครื่องเกียร์ (ยกเว้นล้อเฟือง ล้อเฟืองขับโซ่ และส่วนอื่นๆ ของระบบส่งกำลังที่แยกนำเข้ามา) บอลล์สกรูหรือโรเลอร์สกรู กระปุกเกียร์และเครื่องเปลี่ยนความเร็วอื่นๆ รวมถึงทอร์คคอนเวอร์เตอร์</t>
  </si>
  <si>
    <t>ล้อตุนแรง พูลเลย์ และพูลเลย์บล็อก</t>
  </si>
  <si>
    <t>คลัตช์ ประกับเพลา และข้อต่อยูนิเวอร์แชล</t>
  </si>
  <si>
    <t>ส่วนประกอบของแบริ่ง เกียร์ และอุปกรณ์ที่ใช้ขับเคลื่อน</t>
  </si>
  <si>
    <t>บอลล์ เข็ม และโรลเลอร์ รวมถึงส่วนประกอบของบอลล์แบริ่งและโรลเลอร์แบริ่ง</t>
  </si>
  <si>
    <t>ส่วนประกอบของโซ่ชนิดใช้ข้อต่อ (อาร์ทิคิวเลเต็ดลิงก์) ต่อกันเป็นข้อๆ ที่ทำจากเหล็กและเหล็กกล้า</t>
  </si>
  <si>
    <t>ส่วนประกอบของแบริ่งและอุปกรณ์ที่ใช้ขับเคลื่อน ซึ่งมิได้จัดประเภทไว้ในที่อื่น เช่น ล้อเฟือง ล้อเฟืองขับโซ่ เป็นต้น</t>
  </si>
  <si>
    <t>บริการรับจ้างเหมาที่เป็นส่วนหนึ่งของการผลิตตลับลูกปืน เกียร์ และอุปกรณ์ที่ใช้ขับเคลื่อน</t>
  </si>
  <si>
    <t>เตาอบ เตาเผา และเครื่องพ่นหรือเครื่องฉีดเชื้อเพลิงของเตาเผา</t>
  </si>
  <si>
    <t>เตาอบ เตาเผา และเครื่องพ่นหรือฉีดเชื้อเพลิง</t>
  </si>
  <si>
    <t>เครื่องพ่นหรือฉีดเชื้อเพลิงของเตาเผา (เฟอร์เนซเบอร์เนอร์) สำหรับใช้กับเชื้อเพลิงเหลว หรือเชื้อเพลิงป่น หรือก๊าซ เครื่องเติมเชื้อเพลิงที่เป็นเครื่องกล รวมถึงตะกรับ เครื่องขับขี้เถ้าที่เป็นเครื่องกล และเครื่องใช้ที่คล้ายกันของเครื่องเติมเชื้อเพลิงดังกล่าว</t>
  </si>
  <si>
    <t>เตาเผาและเตาอบชนิดที่ใช้ในทางอุตสาหกรรมหรือตามห้องปฏิบัติการที่ไม่ใช้ไฟฟ้า รวมถึงเตาเผาขยะ (ยกเว้นเตาอบเบเกอรี่)</t>
  </si>
  <si>
    <t>เตาเผาไฟฟ้าและเตาอบไฟฟ้าชนิดใช้ในทางอุตสาหกรรมหรือตามห้องปฏิบัติการ (รวมถึงของเหล่านั้นที่ทำงานโดยการเหนี่ยวนำหรือโดยการสูญเสียไดอิเล็กทริก) รวมถึงเครื่องอุปกรณ์อื่นๆ ชนิดที่ใช้ในอุตสาหกรรมหรือตามห้องปฏิบัติการ สำหรับให้ความร้อนกับวัตถุโดยการเหนี่ยวนำหรือโดยการสูญเสียไดอิเล็กทริก</t>
  </si>
  <si>
    <t>ส่วนประกอบของเตาอบ เตาเผา และเครื่องพ่นหรือฉีดเชื้อเพลิง</t>
  </si>
  <si>
    <t>บริการรับจ้างเหมาที่เป็นส่วนหนึ่งของการผลิตเตาอบ เตาเผา เครื่องพ่นหรือฉีดเชื้อเพลิงของเตาเผา</t>
  </si>
  <si>
    <t>เครื่องอุปกรณ์ที่ใช้สำหรับยกและขนย้าย</t>
  </si>
  <si>
    <t>เครื่องอุปกรณ์ที่ใช้สำหรับยกและขนย้าย และส่วนประกอบของของดังกล่าว</t>
  </si>
  <si>
    <t>เครื่องผ่อนแรงที่ใช้ลูกรอกและเครื่องชักรอก (ยกเว้นเครื่องชักรอกแบบสกิปหรือเครื่องชักรอกชนิดที่ใช้สำหรับยกยาน)</t>
  </si>
  <si>
    <t>เครื่องกว้านแบบนอนอื่นๆ และเครื่องกว้านแบบตั้ง</t>
  </si>
  <si>
    <t>แม่แรงและเครื่องชักรอกชนิดที่ใช้สำหรับยกยานพาหนะ</t>
  </si>
  <si>
    <t>ชิปส์เดอร์ริก ปั้นจั่นและปั้นจั่นแบบเคเบิล โครงยกของชนิดเคลื่อนที่ได้ เครื่องขนย้ายแบบสแตรดเดิล และรถใช้งาน(เวิร์กทรัก) ที่มีปั้นจั่นติดอยู่ด้วย</t>
  </si>
  <si>
    <t>รถฟอร์กลิฟต์ รถใช้งาน (เวิร์กทรัก) อื่นๆ และแทรกเตอร์ชนิดที่ใช้บนชานชลาสถานีรถไฟ</t>
  </si>
  <si>
    <t>ลิฟต์และเครื่องชักรอกแบบสกิป บันไดเลื่อนและทางเลื่อน</t>
  </si>
  <si>
    <t>เครื่องยกและเครื่องลำเลียงแบบนิวเมติก เครื่องยกและเครื่องลำเลียงอื่นๆ ที่ทำงานอย่างต่อเนื่องสำหรับขนส่งของหรือวัตถุ (ยกเว้นที่ออกแบบเป็นพิเศษสำหรับใช้ใต้ดิน)</t>
  </si>
  <si>
    <t>เครื่องเทเลเฟอริก แชร์ลิฟต์ สกีแดรกไลน์ เครื่องกลไกฉุดลากสำหรับเครื่องฟิวนิคิวลาร์ และเครื่องจักรอื่นๆ สำหรับยก ขนย้าย บรรทุกหรือขนถ่าย ซึ่งมิได้จัดประเภทไว้ในที่อื่น</t>
  </si>
  <si>
    <t>ส่วนประกอบของเครื่องอุปกรณ์ที่ใช้สำหรับยกและขนย้าย</t>
  </si>
  <si>
    <t>บักเกต ที่ตัก ที่ตักแบบก้ามปูและแบบกรงเล็บ</t>
  </si>
  <si>
    <t>บริการรับจ้างเหมาที่เป็นส่วนหนึ่งของการผลิตเครื่องอุปกรณ์ที่ใช้สำหรับยกหรือขนย้าย</t>
  </si>
  <si>
    <t>เครื่องจักรและเครื่องใช้สำนักงาน (ยกเว้นคอมพิวเตอร์และอุปกรณ์ต่อพ่วง)</t>
  </si>
  <si>
    <t>เครื่องพิมพ์ดีด เครื่องประมวลผลคำ และเครื่องคำนวณ</t>
  </si>
  <si>
    <t>เครื่องพิมพ์ดีดและเครื่องประมวลผลคำ</t>
  </si>
  <si>
    <t>เครื่องคำนวณอิเล็กทรอนิกส์ที่ทำงานโดยไม่ใช้พลังงานไฟฟ้าจากแหล่งภายนอก และเครื่องคำนวณอิเล็กทรอนิกส์อื่นๆ รวมถึงเครื่องบันทึกถอดและแสดงข้อมูล พร้อมทำหน้าที่คำนวณขนาดกระเป๋า</t>
  </si>
  <si>
    <t>เครื่องทำบัญชี เครื่องบันทึกการรับเงิน เครื่องประทับไปรษณียากร เครื่องจ่ายตั๋ว และเครื่องจักรที่คล้ายกันที่มีอุปกรณ์การคำนวณร่วมอยู่ด้วย</t>
  </si>
  <si>
    <t>เครื่องจักรและเครื่องใช้สำนักงาน</t>
  </si>
  <si>
    <t>เครื่องทำสำเนาโดยใช้แสงที่มีระบบทางทัศนศาสตร์ประกอบร่วมอยู่ด้วยหรือเครื่องทำสำเนาโดยใช้แสงแบบทาบติด (คอนแทกต์) และเครื่องทำสำเนาโดยใช้ความร้อน</t>
  </si>
  <si>
    <t>เครื่องพิมพ์แบบออฟเซ็ต ที่ป้อนกระดาษเป็นแผ่น ชนิดที่ใช้ในสำนักงาน</t>
  </si>
  <si>
    <t>เครื่องจักรสำนักงานอื่นๆ</t>
  </si>
  <si>
    <t>กระดานดำ กระดานชนวน และกระดานที่มีพื้นผิวสำหรับเขียนหรือวาด จะมีกรอบหรือไม่ก็ตาม</t>
  </si>
  <si>
    <t>ส่วนประกอบของเครื่องจักรและเครื่องใช้สำนักงาน (ยกเว้นคอมพิวเตอร์และอุปกรณ์ต่อพ่วง)</t>
  </si>
  <si>
    <t>ส่วนประกอบของเครื่องพิมพ์ดีด เครื่องประมวลผลคำ และเครื่องคำนวณ</t>
  </si>
  <si>
    <t>ส่วนประกอบของเครื่องทำสำเนา</t>
  </si>
  <si>
    <t>ส่วนประกอบของเครื่องจักรสำนักงานอื่นๆ</t>
  </si>
  <si>
    <t>บริการรับจ้างเหมาที่เป็นส่วนหนึ่งของการผลิตเครื่องจักรและเครื่องใช้สำนักงาน</t>
  </si>
  <si>
    <t>เครื่องมือที่ใช้งานด้วยมือชนิดใช้กำลังขับเคลื่อน</t>
  </si>
  <si>
    <t>เครื่องมือกลไฟฟ้าที่ใช้งานด้วยมือและเครื่องมือที่ใช้งานด้วยมือชนิดใช้กำลังขับเคลื่อนที่หิ้วได้อื่นๆ</t>
  </si>
  <si>
    <t>เครื่องมือที่ใช้งานด้วยมือแบบมีมอเตอร์ที่ใช้ไฟฟ้าอยู่ในตัว เช่น เลื่อย เครื่องเจาะทุกชนิด เป็นต้น</t>
  </si>
  <si>
    <t>เครื่องมือที่ใช้งานด้วยมือแบบนิวเมติก แบบไฮดรอลิก และอื่นๆ</t>
  </si>
  <si>
    <t>ส่วนประกอบของเครื่องมือที่ใช้งานด้วยมือชนิดใช้กำลังขับเคลื่อน</t>
  </si>
  <si>
    <t>ส่วนประกอบของเครื่องมือกลไฟฟ้าที่ใช้งานด้วยมือแบบมีมอเตอร์ที่ใช้ไฟฟ้าอยู่ในตัว และส่วนประกอบของเลื่อยแบบโซ่</t>
  </si>
  <si>
    <t>ส่วนประกอบของเครื่องมือที่ใช้งานด้วยมือ แบบนิวเมติก</t>
  </si>
  <si>
    <t>บริการรับจ้างเหมาที่เป็นส่วนหนึ่งของการผลิตเครื่องมือที่ใช้งานด้วยมือชนิดใช้กำลังขับเคลื่อน</t>
  </si>
  <si>
    <t>เครื่องจักรอื่นๆ ที่ใช้งานทั่วไป</t>
  </si>
  <si>
    <t>เครื่องทำความเย็น</t>
  </si>
  <si>
    <t>เครื่องทำความเย็นและระบายอากาศ (ยกเว้นชนิดใช้ในครัวเรือน)</t>
  </si>
  <si>
    <t>เครื่องแลกเปลี่ยนความร้อนและเครื่องจักรสำหรับทำอากาศหรือก๊าซให้เป็นของเหลว</t>
  </si>
  <si>
    <t>เครื่องปรับอากาศ รวมถึงเครื่องปรับอากาศชนิดใช้ในยานยนต์</t>
  </si>
  <si>
    <t>เครื่องจักรทำความเย็นหรือแช่แข็ง (ยกเว้นชนิดใช้ในครัวเรือน) เช่น ตู้แช่ ตู้แช่แข็ง ตู้โชว์ และเฟอร์นิเจอร์อื่นๆ สำหรับเก็บและแสดงที่มีเครื่องอุปกรณ์ทำความเย็นหรือแช่แข็ง รวมถึงปั๊มความร้อน</t>
  </si>
  <si>
    <t>พัดลมชนิดใช้ในงานพาณิชยกรรมและอุตสาหกรรม</t>
  </si>
  <si>
    <t>ส่วนประกอบของเครื่องทำความเย็นและระบายอากาศ และพัดลม</t>
  </si>
  <si>
    <t>บริการรับจ้างเหมาที่เป็นส่วนหนึ่งของการผลิตเครื่องทำความเย็นและระบายอากาศ (ยกเว้นชนิดใช้ในครัวเรือน)</t>
  </si>
  <si>
    <t>เครื่องจักรอื่นๆ ที่ใช้งานทั่วไป ซึ่งมิได้จัดประเภทไว้ในที่อื่น</t>
  </si>
  <si>
    <t>เครื่องกำเนิดก๊าซ เครื่องกลั่น และเครื่องกรอง</t>
  </si>
  <si>
    <t>เครื่องกำเนิดก๊าซหรือวอเตอร์ก๊าซ เครื่องกำเนิดก๊าซอะเซทิลีน เครื่องจักรโรงงานที่ใช้ในการกลั่นหรือการกลั่นลำดับส่วน</t>
  </si>
  <si>
    <t>เครื่องจักรและเครื่องอุปกรณ์ที่ใช้กรองของเหลวหรือก๊าซหรือทำให้ของเหลวหรือก๊าซบริสุทธิ์ (ยกเว้นสำหรับเครื่องยนต์สันดาปภายใน)</t>
  </si>
  <si>
    <t>เครื่องกรองน้ำมัน เครื่องกรองน้ำมันเชื้อเพลิง และเครื่องกรองอากาศ ของท่อไอดีสำหรับเครื่องยนต์สันดาปภายใน</t>
  </si>
  <si>
    <t>เครื่องจักรที่ใช้ในการทำความสะอาด เครื่องจักรที่ใช้ในการเติมเครื่องจักรที่ใช้ในการบรรจุหรือห่อหุ้มขวดหรือภาชนะบรรจุอื่นๆ เครื่องดับเพลิง ปืนฉีดพ่น เครื่องพ่นทราย เครื่องพ่นไอน้ำ และปะเก็น</t>
  </si>
  <si>
    <t>เครื่องจักรที่ใช้ในการทำความสะอาด ทำให้ขวด หรือภาชนะบรรจุอื่นๆ สะอาดหรือแห้ง เครื่องจักรที่ใช้ในการเติม เครื่องจักรที่ใช้ในการบรรจุปิดผนึก หรือปิดป้ายสลากขวด กระป๋อง กล่อง ถุง หรือภาชนะบรรจุอื่นๆ เครื่องจักรสำหรับหุ้มปลอกขวด กระปุก หลอด และภาชนะบรรจุที่คล้ายกัน รวมถึงเครื่องจักรสำหรับบรรจุเครื่องดื่มอัดลม</t>
  </si>
  <si>
    <t>เครื่องดับเพลิง ปืนฉีดพ่น หัวฉีด และเครื่องใช้ที่คล้ายกัน เครื่องพ่นทราย เครื่องพ่นไอน้ำ และเครื่องอุปกรณ์ที่คล้ายกันสำหรับฉีดพ่นของเหลวหรือผงให้พุ่งเป็นลำ เป็นฝอย หรือเป็นละอองอื่นๆ (ยกเว้นชนิดใช้ในทางการเกษตร)</t>
  </si>
  <si>
    <t>ปะเก็นและแผ่นกันรั่วที่คล้ายกัน ที่ทำจากวัสดุประกอบร่วมกับวัสดุอื่น หรือหลายชั้นจากวัสดุชนิดเดียวกัน และตัวผนึกเชิงกล</t>
  </si>
  <si>
    <t>เครื่องชั่งชนิดใช้ในอุตสาหกรรม ครัวเรือน และอื่นๆ (ยกเว้น เครื่องชั่ง ที่มีความไวชนิดใช้ในห้องปฏิบัติการ) เครื่องมือสอบเทียบของช่างเครื่อง เครื่องวัดระดับ สายวัด และเครื่องมือที่คล้ายกันที่ใช้งานด้วยมือ</t>
  </si>
  <si>
    <t>เครื่องชั่งของบนเครื่องลำเลียงอย่างต่อเนื่อง เครื่องชั่งแบบตั้งค่านํ้าหนักคงที่ และเครื่องชั่งสำหรับถ่ายเทของตามนํ้าหนัก เครื่องวัดระดับของช่างเครื่อง</t>
  </si>
  <si>
    <t>เครื่องชั่งและตราชั่งชนิดใช้ส่วนบุคคลและครัวเรือน</t>
  </si>
  <si>
    <t>เครื่องมือวัดอื่นๆ ที่คล้ายกันที่ใช้งานด้วยมือ และเครื่องชั่งชนิดใช้ในอุตสาหกรรมอื่นๆ (ยกเว้น เครื่องชั่งที่มีความไว 5 เซนติกรัมหรือไวกว่า)</t>
  </si>
  <si>
    <t>เครื่องเซ็นตริฟิวจ์ เครื่องรีดชนิดคาเลนเดอริง และเครื่องขายสินค้าอัตโนมัติ</t>
  </si>
  <si>
    <t>เครื่องเซ็นตริฟิวจ์ (ยกเว้นเครื่องแยกครีมหรือเครื่องทำให้ผ้าแห้ง)</t>
  </si>
  <si>
    <t>เครื่องรีดชนิดคาเลนเดอริงหรือเครื่องรีดอื่นๆ ที่ใช้ลูกกลิ้ง (ยกเว้นเครื่องรีดโลหะหรือแก้ว)</t>
  </si>
  <si>
    <t>เครื่องขายสินค้าอัตโนมัติ</t>
  </si>
  <si>
    <t>เครื่องล้างจานชนิดใช้ในทางอุตสาหกรรม</t>
  </si>
  <si>
    <t>เครื่องจักรและเครื่องอุปกรณ์ชนิดไม่ใช้ไฟฟ้าสำหรับบัดกรี เป่าแล่นหรือเชื่อม เครื่องจักรสำหรับตัดโลหะโดยใช้ก๊าซ เครื่องจักรและเครื่องใช้สำหรับการอบคืนตัว (เทมเปอริง) ของผิววัตถุโดยใช้ก๊าซ</t>
  </si>
  <si>
    <t>เครื่องจักร ซึ่งมิได้จัดประเภทไว้ในที่อื่น สำหรับงานโลหะกรรม โดยกระบวนการที่เกี่ยวข้องกับการเปลี่ยนแปลงอุณหภูมิ เช่น เครื่องจักร สำหรับกระทำกับวัตถุโดยกรรมวิธีที่เกี่ยวกับการทำให้ร้อน สำหรับการผลิตแผงวงจรพิมพ์ แผงการเดินสายแบบพิมพ์ หรือแผงวงจรไฟฟ้า</t>
  </si>
  <si>
    <t>เครื่องจักร ซึ่งมิได้จัดประเภทไว้ในที่อื่น สำหรับงานโลหะกรรม โดยกระบวนการที่เกี่ยวข้องกับการเปลี่ยนแปลงอุณหภูมิ เช่น เครื่องจักรสำหรับกระทำกับวัตถุโดยกรรมวิธีที่เกี่ยวกับการทำให้ร้อน สำหรับการผลิตแผงวงจรพิมพ์ แผงการเดินสายแบบพิมพ์ หรือแผงวงจรไฟฟ้า</t>
  </si>
  <si>
    <t>ส่วนประกอบของเครื่องจักรอื่นๆ ที่ใช้งานทั่วไป ซึ่งมิได้จัดประเภทไว้ในที่อื่น</t>
  </si>
  <si>
    <t>ส่วนประกอบของเครื่องกำเนิดก๊าซและวอเตอร์ก๊าซ</t>
  </si>
  <si>
    <t>ส่วนประกอบของเครื่องเซ็นตริฟิวจ์ (ยกเว้นเครื่องแยกครีมหรือเครื่องทำให้ผ้าแห้ง) เครื่องจักรและเครื่องอุปกรณ์ที่ใช้กรองของเหลวหรือก๊าซหรือทำให้ของเหลวหรือก๊าซบริสุทธิ์</t>
  </si>
  <si>
    <t>ส่วนประกอบของเครื่องรีดชนิดคาเลนเดอริง หรือเครื่องรีดอื่นๆ ที่ใช้ลูกกลิ้ง เครื่องฉีดพ่น เครื่องชั่งน้ำหนัก และเครื่องขายสินค้าอัตโนมัติ</t>
  </si>
  <si>
    <t>ส่วนประกอบของเครื่องจักรที่ไม่มีขั้วต่อไฟฟ้า ฉนวนไฟฟ้า ขดลวดไฟฟ้า ขั้วสัมผัสไฟฟ้าหรือของอื่นๆ ที่เกี่ยวกับไฟฟ้า (ยกเว้นใบจักรเรือและใบของใบจักรเรือ)</t>
  </si>
  <si>
    <t>ส่วนประกอบของเครื่องล้างจานชนิดใช้ในทางอุตสาหกรรม เครื่องจักรที่ใช้ในการทำความสะอาดหรือแห้ง เครื่องจักรสำหรับบรรจุปิดผนึก หรือปิดป้ายสลากขวด กระป๋อง กล่อง ถุง หรือภาชนะอื่นๆ เครื่องจักรสำหรับหุ้มปลอกขวด กระปุก หลอด หรือภาชนะบรรจุที่คล้ายกัน และเครื่องจักรสำหรับบรรจุเครื่องดื่มอัดลม</t>
  </si>
  <si>
    <t>ส่วนประกอบของเครื่องจักรและเครื่องอุปกรณ์ชนิดไม่ใช้ไฟฟ้าสำหรับบัดกรี เป่าแล่น หรือเชื่อม และเครื่องจักรและเครื่องใช้สำหรับการอบคืนตัว (เทมเปอริง) ของผิววัตถุโดยใช้ก๊าซ</t>
  </si>
  <si>
    <t>ส่วนประกอบของเครื่องจักรซึ่งมิได้จัดประเภทไว้ในที่อื่นสำหรับงานโลหะกรรมโดยกระบวนการที่เกี่ยวข้องกับการเปลี่ยนแปลงอุณหภูมิ</t>
  </si>
  <si>
    <t>บริการรับจ้างเหมาที่เป็นส่วนหนึ่งของการผลิตเครื่องจักรอื่นๆ ที่ใช้งานทั่วไป ซึ่งมิได้จัดประเภทไว้ในที่อื่น</t>
  </si>
  <si>
    <t>เครื่องจักรที่ใช้ในงานเฉพาะอย่าง</t>
  </si>
  <si>
    <t>เครื่องจักรที่ใช้ในการเกษตรและการป่าไม้</t>
  </si>
  <si>
    <t>แทรกเตอร์ที่ใช้ในการเกษตร</t>
  </si>
  <si>
    <t>ส่วนประกอบของแทรกเตอร์ที่ใช้ในการเกษตร</t>
  </si>
  <si>
    <t>บริการรับจ้างเหมาที่เป็นส่วนหนึ่งของการผลิตแทรกเตอร์ที่ใช้ในการเกษตร</t>
  </si>
  <si>
    <t>เครื่องจักรอื่นๆ ที่ใช้ในการเกษตรและการป่าไม้</t>
  </si>
  <si>
    <t>เครื่องจักรสำหรับเตรียมดิน</t>
  </si>
  <si>
    <t>เครื่องไถ</t>
  </si>
  <si>
    <t>เครื่องคราด เครื่องพรวนดิน เครื่องกำจัดตอ เครื่องกำจัดวัชพืชและเครื่องขุด</t>
  </si>
  <si>
    <t>เครื่องหว่านเมล็ด เครื่องปลูก และเครื่องย้ายต้นกล้า</t>
  </si>
  <si>
    <t>เครื่องหว่านปุ๋ย</t>
  </si>
  <si>
    <t>เครื่องจักรอื่นๆ สำหรับเตรียมดิน</t>
  </si>
  <si>
    <t>เครื่องตัดหญ้าสำหรับสนามหญ้า สวนสาธารณะ หรือสนามกีฬา</t>
  </si>
  <si>
    <t>เครื่องจักรสำหรับเก็บเกี่ยวและนวด</t>
  </si>
  <si>
    <t>เครื่องตัดหญ้าอื่นๆ รวมถึงแผ่นตัด (คัตเตอร์บาร์) สำหรับติดตั้งกับแทรกเตอร์</t>
  </si>
  <si>
    <t>เครื่องจักรสำหรับทำหญ้าแห้ง</t>
  </si>
  <si>
    <t>เครื่องทำฟ่อนฟางหรือฟ่อนหญ้า รวมถึงเครื่องดังกล่าวที่มีเครื่องเก็บ</t>
  </si>
  <si>
    <t>เครื่องจักรสำหรับเก็บเกี่ยวรากหรือหัวพืช</t>
  </si>
  <si>
    <t>เครื่องจักรอื่นๆ สำหรับเก็บเกี่ยวและนวด ซึ่งมิได้จัดประเภทไว้ในที่อื่น</t>
  </si>
  <si>
    <t>เครื่องจักรสำหรับฉีดพ่นของเหลวหรือผงให้พุ่งเป็นลำ เป็นฝอย หรือเป็นละอองชนิดใช้ในการเกษตรหรือการทำสวน เช่น เครื่องฉีดพ่นสารฆ่าแมลงที่ใช้แรงงาน เครื่องฉีดพ่นของเหลวสำหรับระบบการให้น้ำแบบหยด</t>
  </si>
  <si>
    <t>รถพ่วงหรือรถกึ่งพ่วงที่มีเครื่องบรรทุกหรือขนถ่ายของได้ในตัวเอง ที่ออกแบบสำหรับใช้ในการเกษตร</t>
  </si>
  <si>
    <t>เครื่องจักรอื่นๆ ที่ใช้ในการเกษตรและการป่าไม้ ซึ่งมิได้จัดประเภทไว้ในที่อื่น</t>
  </si>
  <si>
    <t>เครื่องจักรที่ใช้ในการทำความสะอาด คัด หรือแยกขนาดไข่ ผลไม้ และผลิตภัณฑ์เกษตรอื่นๆ (ยกเว้นเมล็ดพืช เมล็ดธัญพืช หรือเมล็ดแห้งของพืชผักตระกูลถั่ว)</t>
  </si>
  <si>
    <t>เครื่องรีดนม</t>
  </si>
  <si>
    <t>เครื่องจักรสำหรับจัดเตรียมอาหารสัตว์</t>
  </si>
  <si>
    <t>เครื่องฟักไข่และเครื่องกกลูกสัตว์ปีกเลี้ยง</t>
  </si>
  <si>
    <t>เครื่องจักรที่ใช้ในการเลี้ยงสัตว์ปีก</t>
  </si>
  <si>
    <t>เครื่องจักรที่ใช้ในการเลี้ยงผึ้ง เครื่องเพาะชำที่มีอุปกรณ์กลหรือเครื่องอุปกรณ์ความร้อนติดอยู่ และเครื่องจักรอื่นๆ ที่ใช้ในการเกษตรและการป่าไม้ ซึ่งมิได้จัดประเภทไว้ในที่อื่น</t>
  </si>
  <si>
    <t>ส่วนประกอบของเครื่องจักรอื่นๆ ที่ใช้ในการเกษตรและการป่าไม้</t>
  </si>
  <si>
    <t>ส่วนประกอบของเครื่องจักรสำหรับเตรียมดิน</t>
  </si>
  <si>
    <t>ส่วนประกอบของเครื่องตัดหญ้าสำหรับสนามหญ้า สวนสาธารณะ หรือสนามกีฬา</t>
  </si>
  <si>
    <t>ส่วนประกอบของเครื่องจักรสำหรับเก็บเกี่ยวและนวด</t>
  </si>
  <si>
    <t>ส่วนประกอบของเครื่องจักรสำหรับฉีดพ่นของเหลวหรือผงให้พุ่งเป็นลำ เป็นฝอย หรือเป็นละอองสำหรับใช้ในการเกษตรหรือการทำสวน</t>
  </si>
  <si>
    <t>ส่วนประกอบของรถพ่วงหรือรถกึ่งพ่วงที่มีเครื่องบรรทุกหรือขนถ่ายของได้ในตัวเอง ที่ออกแบบสำหรับใช้ในการเกษตร</t>
  </si>
  <si>
    <t>ส่วนประกอบของเครื่องจักรอื่นๆ ที่ใช้ในการเกษตรและการป่าไม้ ซึ่งมิได้จัดประเภทไว้ในที่อื่น</t>
  </si>
  <si>
    <t>บริการรับจ้างเหมาที่เป็นส่วนหนึ่งของการผลิตเครื่องจักรอื่นๆ ที่ใช้ในการเกษตรและการป่าไม้</t>
  </si>
  <si>
    <t>เครื่องจักรที่ใช้ในการขึ้นรูปโลหะและเครื่องมือกล</t>
  </si>
  <si>
    <t>เครื่องจักรที่ใช้ในการขึ้นรูปโลหะ</t>
  </si>
  <si>
    <t>เครื่องมือกลสำหรับงานแปรรูปโลหะที่ใช้แสงเลเซอร์และอื่นๆ ที่คล้ายกัน เครื่องจักรแบบศูนย์ร่วมที่ใช้สำหรับตกแต่งโลหะ</t>
  </si>
  <si>
    <t>เครื่องมือกลสำหรับงานแปรรูปโลหะที่ทำงานโดยเอาเนื้อวัตถุออกด้วยแสงเลเซอร์ หรือลำแสงอื่นๆ ที่คล้ายกัน รวมถึงเครื่องจักรและเครื่องอุปกรณ์สำหรับการผลิตอุปกรณ์กึ่งตัวนำหรือวงจรอิเล็กทรอนิกส์</t>
  </si>
  <si>
    <t>เครื่องจักรแบบศูนย์ร่วม เครื่องจักรแบบโครงสร้างเดี่ยว (ฐานเดี่ยว)และเครื่องจักรแบบหลายฐานสำหรับใช้ตกแต่งโลหะ</t>
  </si>
  <si>
    <t>เครื่องมือกลสำหรับกลึง คว้าน หรือเซาะโลหะ</t>
  </si>
  <si>
    <t>เครื่องกลึงโลหะ</t>
  </si>
  <si>
    <t>เครื่องมือกลสำหรับเจาะ คว้าน หรือเซาะโลหะ และเครื่องมือกล สำหรับทำเกลียวนอกหรือเกลียวในโลหะ</t>
  </si>
  <si>
    <t>เครื่องมือกลสำหรับเกลาตะเข็บ ทำให้คม เจียระไน ลับ ขัด ขัดมันหรือตกแต่งอย่างอื่นที่ใช้สำหรับงานโลหะ</t>
  </si>
  <si>
    <t>เครื่องมือกลสำหรับไส ทำร่อง แต่งรู กัดเฟือง เลื่อย หรือตัดโลหะ</t>
  </si>
  <si>
    <t>เครื่องมือกลอื่นๆ สำหรับงานโลหะ</t>
  </si>
  <si>
    <t>เครื่องมือสำหรับดัดโค้ง พับ และดัดตรงโลหะ</t>
  </si>
  <si>
    <t>เครื่องมือสำหรับตัดเฉือน (เชียริ่ง) ตอกรูหรือบากโลหะ</t>
  </si>
  <si>
    <t>เครื่องตีหรือเครื่องตอกแบบ และเครื่องทุบ รวมถึงเครื่องอัดไฮดรอลิกและเครื่องอัดอื่นๆ สำหรับงานโลหะ</t>
  </si>
  <si>
    <t>เครื่องมือกลอื่นๆ สำหรับงานแปรรูปโลหะหรือเซอร์เมต โดยไม่เอาเนื้อวัตถุออก เช่น เครื่องดึงเย็นสำหรับทำท่อน หลอดหรือท่อ โพรไฟล์ ลวดหรือของที่คล้ายกัน เครื่องทำเกลียวโดยการรีด เครื่องจักรสำหรับใช้งานกับลวด</t>
  </si>
  <si>
    <t>ส่วนประกอบของเครื่องจักรที่ใช้ในการขึ้นรูปโลหะ</t>
  </si>
  <si>
    <t>บริการรับจ้างเหมาที่เป็นส่วนหนึ่งของการผลิตเครื่องจักรที่ใช้ในการขึ้นรูปโลหะ</t>
  </si>
  <si>
    <t>เครื่องมือกลอื่นๆ</t>
  </si>
  <si>
    <t>เครื่องมือกลสำหรับงานแปรรูปหิน ไม้ และวัตถุแข็งที่คล้ายกัน</t>
  </si>
  <si>
    <t>เครื่องมือกลสำหรับงานแปรรูปหิน เซรามิก คอนกรีต แอสเบสทอส ซีเมนต์ หรือวัตถุจำพวกแร่ที่คล้ายกัน หรือสำหรับใช้ในงานแปรรูปเย็นของแก้ว เช่น เครื่องเลื่อย เครื่องเจียระไนหรือเครื่องขัดมัน</t>
  </si>
  <si>
    <t>เครื่องมือกลสำหรับงานแปรรูปไม้ ไม้ก๊อก กระดูก ยางแข็ง พลาสติกแข็ง หรือวัตถุแข็งที่คล้ายกัน รวมถึงเครื่องจักรที่ใช้ในการเคลือบ/ชุบ ด้วยไฟฟ้า</t>
  </si>
  <si>
    <t>หัวจับเครื่องมือ หัวจับชิ้นงาน ดิไวดิ้งก์เฮด และอุปกรณ์เสริมพิเศษอื่นๆ ที่ใช้กับเครื่องมือกล และส่วนประกอบของของดังกล่าว รวมถึง ส่วนประกอบของเครื่องมือกลสำหรับงานแปรรูปหิน ไม้ และวัตถุแข็งที่คล้ายกัน</t>
  </si>
  <si>
    <t>หัวจับเครื่องมือ หัวจับชิ้นงาน ดิไวดิ้งก์เฮด และอุปกรณ์เสริมพิเศษอื่นๆ ที่ใช้กับเครื่องมือกล และส่วนประกอบของของดังกล่าว รวมถึง ส่วนประกอบของเครื่องมือกลสำหรับงานแปรรูปหิน ไม้ และวัตถุแข็งที่คล้ายกันหัวจับเครื่องมือ หัวจับชิ้นงาน ดิไวดิ้งก์เฮด และอุปกรณ์เสริมพิเศษอื่นๆ ที่ใช้กับเครื่องมือกล และส่วนประกอบของของดังกล่าว รวมถึง ส่วนประกอบของเครื่องมือกลสำหรับงานแปรรูปหิน ไม้ และวัตถุแข็งที่คล้ายกัน</t>
  </si>
  <si>
    <t>บริการรับจ้างเหมาที่เป็นส่วนหนึ่งของการผลิตเครื่องมือกลอื่นๆ</t>
  </si>
  <si>
    <t>เครื่องจักรที่ใช้ในงานโลหะกรรม</t>
  </si>
  <si>
    <t>เตาแปรสภาพ (คอนเวอร์เตอร์) เบ้า (แลเดิ้ล) แบบหล่ออินกอตและเครื่องหล่อ รวมถึงเครื่องรีดโลหะที่ใช้ลูกกลิ้ง</t>
  </si>
  <si>
    <t>ส่วนประกอบของเตาแปรสภาพ (คอนเวอร์เตอร์) เบ้า (แลเดิ้ล) แบบหล่ออินกอต และเครื่องหล่อ รวมถึงเครื่องรีดโลหะที่ใช้ลูกกลิ้ง</t>
  </si>
  <si>
    <t>บริการรับจ้างเหมาที่เป็นส่วนหนึ่งของการผลิตเครื่องจักรที่ใช้ในงานโลหะกรรม</t>
  </si>
  <si>
    <t>เครื่องจักรที่ใช้ในการทำเหมืองแร่ เหมืองหิน และการก่อสร้าง</t>
  </si>
  <si>
    <t>เครื่องจักรที่ใช้ในการทำเหมืองแร่</t>
  </si>
  <si>
    <t>เครื่องยก ลิฟต์ และเครื่องลำเลียงที่ทำงานอย่างต่อเนื่องสำหรับขนส่งของหรือวัตถุ ซึ่งออกแบบเฉพาะเพื่อใช้งานใต้ดิน</t>
  </si>
  <si>
    <t>เครื่องตัดถ่านหินหรือหิน เครื่องจักรสำหรับขุดอุโมงค์ และเครื่องจักร สำหรับเจาะคว้านหรือขุดเจาะ</t>
  </si>
  <si>
    <t>เครื่องจักรอื่นๆ ที่ใช้ในการขนย้าย เครื่องเกรด เครื่องเกลี่ย เครื่องขูด เครื่องขุด เครื่องตักย้าย เครื่องกระทุ้ง ที่ใช้กับดิน แร่ธาตุ หรือสินแร่ชนิดขับเคลื่อนได้ในตัว รวมถึงบูลโดเซอร์ เครื่องจักรเชิงกล และเครื่องบดถนน</t>
  </si>
  <si>
    <t>บูลโดเซอร์และแองเกิลโดเซอร์ ชนิดขับเคลื่อนได้ในตัว</t>
  </si>
  <si>
    <t>เครื่องเกรดและเครื่องเกลี่ย ชนิดขับเคลื่อนได้ในตัว</t>
  </si>
  <si>
    <t>เครื่องขูด ชนิดขับเคลื่อนได้ในตัว</t>
  </si>
  <si>
    <t>เครื่องกระทุ้งและเครื่องบดถนน ชนิดขับเคลื่อนได้ในตัว</t>
  </si>
  <si>
    <t>เครื่องตักย้ายแบบฟรอนต์เอนด์ ชนิดขับเคลื่อนได้ในตัว</t>
  </si>
  <si>
    <t>เครื่องจักรเชิงกล เครื่องขุด และเครื่องตักย้ายที่โครงสร้างส่วนบนหมุนได้ 360 องศา ชนิดขับเคลื่อนได้ในตัว</t>
  </si>
  <si>
    <t>เครื่องจักรเชิงกล เครื่องขุด และเครื่องตักย้าย (ยกเว้นชนิดที่โครงสร้างส่วนบนหมนุได้ 360 องศา) รวมถึงเครื่องจักรอื่นๆ ที่ใช้ในการทำเหมือง ชนิดขับเคลื่อนได้ในตัว</t>
  </si>
  <si>
    <t>ใบมีดสำหรับบูลโดเซอร์และแองเกิลโดเซอร์</t>
  </si>
  <si>
    <t>รถดั้มพ์ (ดั้มเพอร์) ที่ออกแบบเพื่อใช้งานนอกทางหลวง</t>
  </si>
  <si>
    <t>เครื่องจักรอื่นๆ สำหรับขุด</t>
  </si>
  <si>
    <t>เครื่องจักรสำหรับคัด ร่อน แยก ล้าง ย่อย บด ผสมหรือนวดดิน หิน สินแร่หรือสารจำพวกแร่อื่นๆ ที่มีลักษณะเป็นของแข็ง (รวมถึงผงหรือเพสต์) เครื่องจักรสำหรับทำให้เป็นก้อน เป็นรูปทรงหรือหล่อแบบแร่เชื้อเพลิงแข็ง เซรามิกเพสต์ อันฮาร์ดเดนซีเมนต์ วัตถุจำพวกพลาสเตอร์หรือผลิตภัณฑ์จำพวกแร่อื่นๆ ที่มีลักษณะผงหรือเพสต์ รวมถึงเครื่องจักรสำหรับทำแบบหล่อจากทราย</t>
  </si>
  <si>
    <t>แทรกเตอร์ตีนตะขาบ</t>
  </si>
  <si>
    <t>ส่วนประกอบของเครื่องจักรที่ใช้ในการทำเหมืองแร่ เหมืองหิน และการก่อสร้าง</t>
  </si>
  <si>
    <t>ส่วนประกอบของเครื่องจักรสำหรับเจาะคว้านหรือขุดเจาะหรือขุดและส่วนประกอบของเครน</t>
  </si>
  <si>
    <t>ส่วนประกอบของเครื่องจักรสำหรับคัด ร่อน แยก ล้าง ย่อย บด ผสมหรือนวดดิน หินสินแร่หรือสารจำพวกแร่อื่น ๆ</t>
  </si>
  <si>
    <t>บริการรับจ้างเหมาที่เป็นส่วนหนึ่งของการผลิตเครื่องจักรที่ใช้ในการทำเหมืองแร่ เหมืองหิน และการก่อสร้าง</t>
  </si>
  <si>
    <t>เครื่องจักรที่ใช้ในการผลิตอาหาร เครื่องดื่ม และยาสูบ</t>
  </si>
  <si>
    <t>เครื่องแยกครีม</t>
  </si>
  <si>
    <t>เครื่องจักรที่ใช้ในอุตสาหกรรมผลิตภัณฑ์นม</t>
  </si>
  <si>
    <t>เครื่องจักรที่ใช้ในอุตสาหกรรมโม่-สีเมล็ดธัญพืชหรือเมล็ดแห้งของพืชผักตระกูลถั่ว เช่น เครื่องกะเทาะเปลือกข้าว เครื่องขัดขาวข้าว เครื่องสีเมล็ดกาแฟและข้าวโพด เครื่องขัดมันข้าว เครื่องทำความสะอาดรำข้าว เป็นต้น</t>
  </si>
  <si>
    <t>เครื่องจักรที่ใช้ในการผลิตไวน์ ไซเดอร์ น้ำผลไม้ และเครื่องดื่มที่คล้ายกัน</t>
  </si>
  <si>
    <t>เตาอบเบเกอรี่ชนิดไม่ใช้ไฟฟ้า และเครื่องอุปกรณ์สำหรับหุงต้มหรืออุ่นอาหาร (ยกเว้นชนิดใช้ในครัวเรือน)</t>
  </si>
  <si>
    <t>เครื่องที่ทำให้แห้งชนิดใช้ในการเกษตร</t>
  </si>
  <si>
    <t>เครื่องจักรอื่นๆ ชนิดใช้ในทางอุตสาหกรรม ที่ใช้ในการผลิตอาหาร เครื่องดื่ม ไขมัน และน้ำมัน ซึ่งมิได้จัดประเภทไว้ในที่อื่น</t>
  </si>
  <si>
    <t>เครื่องจักรสำหรับเตรียมหรือจัดทำยาสูบ ซึ่งมิได้จัดประเภทไว้ในที่อื่น</t>
  </si>
  <si>
    <t>เครื่องจักรที่ในการทำความสะอาด คัด หรือแยกขนาดเมล็ดพืช เมล็ดธัญพืช หรือเมล็ดแห้งของพืชตระกูลถั่ว</t>
  </si>
  <si>
    <t>ส่วนประกอบของเครื่องจักรที่ใช้ในการผลิตอาหาร เครื่องดื่ม และยาสูบ</t>
  </si>
  <si>
    <t>ส่วนประกอบของเครื่องจักรที่ใช้ในการผลิตอาหาร</t>
  </si>
  <si>
    <t>ส่วนประกอบของเครื่องจักรที่ใช้ในการผลิตไวน์ ไซเดอร์ น้ำผลไม้ และเครื่องดื่มที่คล้ายกัน</t>
  </si>
  <si>
    <t>ส่วนประกอบของเครื่องจักรที่ใช้ในการผลิตยาสูบ</t>
  </si>
  <si>
    <t>ส่วนประกอบของเครื่องจักรที่ในการทำความสะอาด คัด หรือแยกขนาดเมล็ดพืช เมล็ดธัญพืช หรือเมล็ดแห้งของพืชตระกูลถั่ว</t>
  </si>
  <si>
    <t>บริการรับจ้างเหมาที่เป็นส่วนหนึ่งของการผลิตเครื่องจักรที่ใช้ในการผลิตอาหาร เครื่องดื่ม และยาสูบ</t>
  </si>
  <si>
    <t>เครื่องจักรที่ใช้ในการผลิตสิ่งทอ เสื้อผ้า เครื่องแต่งกาย และเครื่องหนัง</t>
  </si>
  <si>
    <t>เครื่องจักรที่ใช้ในการเตรียม ปั่น ทอ และถักนิตสิ่งทอ</t>
  </si>
  <si>
    <t>เครื่องจักรสำหรับอัดรีด ดึง ทำให้เกิดผิวสัมผัส หรือตัดวัตถุทอประดิษฐ์ และเครื่องจักรจัดเตรียมเส้นใยสิ่งทอ</t>
  </si>
  <si>
    <t>เครื่องปั่นสิ่งทอ เครื่องตีเกลียวคู่ หรือเครื่องตีเกลียว เครื่องกรอสิ่งทอ(รวมถึงเครื่องกรอด้ายพุ่ง) หรือเครื่องทำเข็ดสิ่งทอ และเครื่องจักรอื่นๆ สำหรับเตรียมด้ายสิ่งทอ</t>
  </si>
  <si>
    <t>เครื่องทอผ้า</t>
  </si>
  <si>
    <t>เครื่องถักนิต เครื่องสติตช์บอนดิ้ง และเครื่องจักรสำหรับทำด้ายกิมพ์ ผ้าทูลล์ ผ้าลูกไม้ ผ้าปัก ผ้าที่ใช้ตกแต่ง แถบถักแบบเปีย หรือทำผ้าตาข่าย รวมถึงเครื่องจักรสำหรับทำปุยแบบทัฟต์</t>
  </si>
  <si>
    <t>เครื่องจักรที่เป็นเครื่องช่วยสำหรับใช้งานร่วมกับเครื่องจักรในการผลิตสิ่งทอ รวมถึงเครื่องจักรพิมพ์สิ่งทอ</t>
  </si>
  <si>
    <t>ส่วนประกอบของเครื่องจักรที่ใช้ในการเตรียม ปั่น ทอ ถักนิตสิ่งทอและเครื่องจักรที่ใช้ในการพิมพ์สิ่งทอ</t>
  </si>
  <si>
    <t>บริการรับจ้างเหมาที่เป็นส่วนหนึ่งของการผลิตเครื่องจักรที่ใช้ในการเตรียม ปั่น ทอ และถักนิตสิ่งทอ</t>
  </si>
  <si>
    <t>เครื่องจักรอื่นๆ ที่ใช้ในการผลิตสิ่งทอ เครื่องแต่งกาย และเครื่องหนัง</t>
  </si>
  <si>
    <t>เครื่องจักรอื่นๆ ที่ใช้ในการผลิตสิ่งทอและเครื่องแต่งกาย รวมถึงเครื่องจักรสำหรับเย็บ</t>
  </si>
  <si>
    <t>เครื่องจักรที่ใช้ในการซัก ทำความสะอาด บิดหรือเหวี่ยงเอาน้ำออกให้แห้ง รีด อัด ฟอก ย้อม ม้วน หรืออย่างอื่นที่คล้ายกันสำหรับด้าย สิ่งทอหรือผ้า รวมถึงเครื่องจักรสำหรับตกแต่งสักหลาด</t>
  </si>
  <si>
    <t>เครื่องซักผ้าชนิดใช้ในกิจการซักรีด เครื่องซักแห้ง เครื่องทำให้แห้ง ซึ่งจุผ้าแห้งมากกว่า 10 กิโลกรัม</t>
  </si>
  <si>
    <t>เครื่องทำให้เสื้อผ้าแห้งโดยวิธีหมุนเหวี่ยง</t>
  </si>
  <si>
    <t>เครื่องจักรสำหรับเย็บ (ยกเว้นเครื่องจักรเย็บหนังสือและจักรเย็บผ้าชนิดใช้ในครัวเรือน)</t>
  </si>
  <si>
    <t>เครื่องจักรสำหรับการเตรียม ฟอก หรือตกแต่งหนังดิบ หนังฟอก หรือสำหรับทำหรือซ่อมรองเท้าและสิ่งของอื่นๆ ที่ทำจากหนัง</t>
  </si>
  <si>
    <t>เครื่องจักรเย็บผ้าชนิดใช้ในครัวเรือน</t>
  </si>
  <si>
    <t>ส่วนประกอบของเครื่องจักรอื่นๆ ที่ใช้ในการผลิตสิ่งทอ เครื่องแต่งกายและเครื่องหนัง</t>
  </si>
  <si>
    <t>ส่วนประกอบของเครื่องจักรอื่นๆ ที่ใช้ในการผลิตสิ่งทอและเครื่องแต่งกาย รวมถึงเครื่องจักรสำหรับเย็บ</t>
  </si>
  <si>
    <t>ส่วนประกอบของเครื่องจักรสำหรับการแปรรูปหนังดิบ หนังฟอก หรือสำหรับทำหรือซ่อมรองเท้าและสิ่งของอื่นๆ ที่ทำจากหนัง</t>
  </si>
  <si>
    <t>ส่วนประกอบของเครื่องจักรเย็บผ้าชนิดใช้ในครัวเรือน</t>
  </si>
  <si>
    <t>บริการรับจ้างเหมาที่เป็นส่วนหนึ่งของการผลิตเครื่องจักรอื่นๆ ที่ใช้ในการผลิตสิ่งทอ เครื่องแต่งกาย และเครื่องหนัง</t>
  </si>
  <si>
    <t>เครื่องจักรที่ใช้ในงานเฉพาะอย่างอื่นๆ</t>
  </si>
  <si>
    <t>เครื่องจักรที่ใช้ในการผลิตกระดาษและกระดาษแข็ง</t>
  </si>
  <si>
    <t>ส่วนประกอบของเครื่องจักรที่ใช้ในการผลิตกระดาษและกระดาษแข็ง</t>
  </si>
  <si>
    <t>บริการรับจ้างเหมาที่เป็นส่วนหนึ่งของการผลิตเครื่องจักรที่ใช้ในการผลิตกระดาษและกระดาษแข็ง</t>
  </si>
  <si>
    <t>เครื่องจักรที่ใช้ในการผลิตพลาสติกและยาง</t>
  </si>
  <si>
    <t>เครื่องจักรที่ใช้ในการผลิตพลาสติกและยาง เช่น เครื่องหล่อแบบชนิดใช้หัวฉีด เครื่องอัดรีด เครื่องหล่อแบบชนิดเป่าพ่น เครื่องหล่อแบบชนิดสุญญากาศ เครื่องจักรสำหรับขึ้นรูป เป็นต้น</t>
  </si>
  <si>
    <t>ส่วนประกอบของเครื่องจักรที่ใช้ในการผลิตพลาสติกและยาง</t>
  </si>
  <si>
    <t>บริการรับจ้างเหมาที่เป็นส่วนหนึ่งของการผลิตเครื่องจักรที่ใช้ในการผลิตพลาสติกและยาง</t>
  </si>
  <si>
    <t>เครื่องจักรที่ใช้งานเฉพาะอย่างอื่นๆ ซึ่งมิได้จัดประเภทไว้ในที่อื่น</t>
  </si>
  <si>
    <t>เครื่องจักรสำหรับพิมพ์ เข้าเล่ม และเย็บหนังสือ</t>
  </si>
  <si>
    <t>เครื่องจักรสำหรับเข้าเล่มหนังสือและเครื่องจักรเย็บหนังสือ</t>
  </si>
  <si>
    <t>เครื่องจักรและเครื่องอุปกรณ์สำหรับเรียงพิมพ์ จัดเตรียมหรือทำบล็อกเพลตที่ใช้ในการพิมพ์</t>
  </si>
  <si>
    <t>เครื่องพิมพ์แบบออฟเซ็ต (ยกเว้นชนิดใช้ในสำนักงาน)</t>
  </si>
  <si>
    <t>เครื่องจักรพิมพ์อื่นๆ (ยกเว้นชนิดใช้ในสำนักงาน)</t>
  </si>
  <si>
    <t>เครื่องจักรและเครื่องอุปกรณ์ชนิดที่ใช้เฉพาะหรือส่วนใหญ่ใช้สำหรับการผลิตแท่งบลูส์สารกึ่งตัวนำหรือเวเฟอร์ อุปกรณ์กึ่งตัวนำ วงจรรวมอิเล็กทรอนิกส์ จอแสดงผลแบบแบน ผลิตหรือซ่อมมาสก์และเรติเคิล</t>
  </si>
  <si>
    <t>เครื่องทำไม้ เยื่อกระดาษ กระดาษ หรือกระดาษแข็งให้แห้ง รวมถึงเครื่องจักรทำให้แห้งชนิดใช้ในงานอุตสาหกรรม ซึ่งมิได้จัดประเภทไว้ในที่อื่น</t>
  </si>
  <si>
    <t>ม้าหมุน ชิงช้า เครื่องเล่นยิงเป้า และเครื่องเล่นอื่นๆ ในสวนสนุก รวมถึงของและสัตว์ที่ใช้ในการแสดงละครสัตว์เร่ การแสดงสัตว์เร่ และการแสดงละครเร่</t>
  </si>
  <si>
    <t>เครื่องปล่อยยานอวกาศและเครื่องจักรที่ใช้งานเฉพาะอย่างอื่นๆ ซึ่งมิได้จัดประเภทไว้ในที่อื่น</t>
  </si>
  <si>
    <t>ส่วนประกอบของเครื่องจักรที่ใช้งานเฉพาะอย่างอื่นๆ ซึ่งมิได้จัดประเภทไว้ในที่อื่น</t>
  </si>
  <si>
    <t>ส่วนประกอบของเครื่องจักรสำหรับพิมพ์ เข้าเล่ม และเย็บหนังสือ</t>
  </si>
  <si>
    <t>ส่วนประกอบของเครื่องจักรและเครื่องอุปกรณ์ชนิดที่ใช้เฉพาะหรือส่วนใหญ่ใช้สำหรับการผลิตแท่งบลูส์สารกึ่งตัวนำหรือเวเฟอร์ อุปกรณ์กึ่งตัวนำ วงจรรวมอิเล็กทรอนิกส์ หรือจอแสดงผลแบบแบน</t>
  </si>
  <si>
    <t>บริการรับจ้างเหมาที่เป็นส่วนหนึ่งของการผลิตเครื่องจักรที่ใช้งานเฉพาะอย่างอื่นๆ ซึ่งมิได้จัดประเภทไว้ในที่อื่น</t>
  </si>
  <si>
    <t>ยานยนต์ รถพ่วง และรถกึ่งพ่วง</t>
  </si>
  <si>
    <t xml:space="preserve">ยานยนต์ </t>
  </si>
  <si>
    <t>เครื่องยนต์สำหรับยานยนต์</t>
  </si>
  <si>
    <t>เครื่องยนต์สันดาปภายในชนิดใช้กับยานยนต์</t>
  </si>
  <si>
    <t>เครื่องยนต์สันดาปภายในแบบลูกสูบเคลื่อนตรงชนิดจุดระเบิดด้วยประกายไฟ ที่มีความจุของกระบอกสูบไม่เกิน 1,000 ลูกบาศก์เซนติเมตร</t>
  </si>
  <si>
    <t>เครื่องยนต์สันดาปภายในแบบลูกสูบเคลื่อนตรงชนิดจุดระเบิดด้วยประกายไฟ ที่มีความจุของกระบอกสูบเกิน 1,000 ลูกบาศก์เซนติเมตร</t>
  </si>
  <si>
    <t>เครื่องยนต์สันดาปภายในแบบลูกสูบชนิดจุดระเบิดด้วยการอัด (เครื่องยนต์ดีเซลหรือกึ่งดีเซล) ชนิดที่ใช้ขับเคลื่อนยานยนต์</t>
  </si>
  <si>
    <t>แชสซีส์ที่มีเครื่องยนต์ติดตั้งสำหรับยานยนต์</t>
  </si>
  <si>
    <t>บริการรับจ้างเหมาที่เป็นส่วนหนึ่งของการผลิตเครื่องยนต์สันดาปภายในชนิดใช้กับยานยนต์ และแชสซีส์ที่มีเครื่องยนต์ติดตั้งสำหรับยานยนต์ และบริการนำเครื่องยนต์เก่าของยานยนต์มาปรับปรุงให้เป็นเครื่องยนต์ใหม่</t>
  </si>
  <si>
    <t>รถยนต์ส่วนบุคคล</t>
  </si>
  <si>
    <t>รถยนต์ส่วนบุคคลที่มีเครื่องยนต์สันดาปภายในแบบลูกสูบเคลื่อนตรงที่จุดระเบิดด้วยประกายไฟ ที่มีความจุของกระบอกสูบไม่เกิน 1,500 ลูกบาศก์เซนติเมตร</t>
  </si>
  <si>
    <t>รถยนต์ส่วนบุคคลที่มีเครื่องยนต์สันดาปภายในแบบลูกสูบเคลื่อนตรงที่จุดระเบิดด้วยประกายไฟ ที่มีความจุของกระบอกสูบเกิน 1,500 ลูกบาศก์เซนติเมตร</t>
  </si>
  <si>
    <t>รถยนต์ส่วนบุคคลที่มีเครื่องยนต์สันดาปภายในแบบมีลูกสูบที่จุดระเบิดโดยการอัด (ดีเซลหรือกึ่งดีเซล)</t>
  </si>
  <si>
    <t>รถยนต์ส่วนบุคคลอื่นๆ</t>
  </si>
  <si>
    <t>บริการรับจ้างเหมาที่เป็นส่วนหนึ่งของการผลิตรถยนต์ส่วนบุคคล</t>
  </si>
  <si>
    <t>รถกระบะ 1 ตัน</t>
  </si>
  <si>
    <t>รถกระบะ 1 ตันที่มีเครื่องยนต์สันดาปภายในแบบลูกสูบเคลื่อนตรง ที่จุดระเบิดด้วยประกายไฟ ที่มีความจุของกระบอกสูบไม่เกิน 1,500 ลูกบาศก์เซนติเมตร</t>
  </si>
  <si>
    <t>รถกระบะ 1 ตันที่มีเครื่องยนต์สันดาปภายในแบบลูกสูบเคลื่อนตรง ที่จุดระเบิดด้วยประกายไฟ ที่มีความจุของกระบอกสูบเกิน 1,500 ลูกบาศก์เซนติเมตร</t>
  </si>
  <si>
    <t>รถกระบะ 1 ตันที่มีเครื่องยนต์สันดาปภายในแบบมีลูกสูบที่จุดระเบิด โดยการอัด (ดีเซลหรือกึ่งดีเซล)</t>
  </si>
  <si>
    <t>รถกระบะ 1 ตันอื่นๆ</t>
  </si>
  <si>
    <t>บริการรับจ้างเหมาที่เป็นส่วนหนึ่งของการผลิตรถกระบะ 1 ตัน</t>
  </si>
  <si>
    <t>ยานยนต์อื่นๆ ที่ใช้เพื่อการโดยสาร</t>
  </si>
  <si>
    <t>ยานยนต์อื่นๆ ที่ใช้เพื่อการโดยสารสำหรับขนส่งบุคคลตั้งแต่สิบคนขึ้นไป เช่น รถตู้ รถบัส รถ shuttle bus และรถโค้ช</t>
  </si>
  <si>
    <t>บริการรับจ้างเหมาที่เป็นส่วนหนึ่งของการผลิตยานยนต์อื่นๆ ที่ใช้เพื่อการโดยสารสำหรับขนส่งบุคคลตั้งแต่สิบคนขึ้นไป</t>
  </si>
  <si>
    <t>ยานยนต์อื่นๆ ซึ่งมิได้จัดประเภทไว้ในที่อื่น</t>
  </si>
  <si>
    <t>ยานยนต์สำหรับขนส่งสินค้า</t>
  </si>
  <si>
    <t>ยานยนต์สำหรับขนส่งสินค้าที่มีเครื่องยนต์สันดาปภายในแบบมีลูกสูบ ที่จุดระเบิดโดยการอัด (ดีเซลหรือกึ่งดีเซล)</t>
  </si>
  <si>
    <t>ยานยนต์สำหรับขนส่งสินค้าที่มีเครื่องยนต์สันดาปภายในแบบลูกสูบ ที่จุดระเบิดด้วยประกายไฟ</t>
  </si>
  <si>
    <t>แทรกเตอร์เดินบนถนนสำหรับลากรถกึ่งรถพ่วง</t>
  </si>
  <si>
    <t>รถปั้นจั่น</t>
  </si>
  <si>
    <t>ยานยนต์ที่ออกแบบโดยเฉพาะเพื่อการเดินทางบนหิมะ รวมถึงรถที่ใช้ในสนามกอล์ฟและยานยนต์ที่คล้ายกัน</t>
  </si>
  <si>
    <t>ยานยนต์สำหรับใช้งานพิเศษ (ยกเว้นยานยนต์ที่ออกแบบสำหรับขนส่งบุคคลหรือสินค้าเป็นหลัก)</t>
  </si>
  <si>
    <t>บริการรับจ้างเหมาที่เป็นส่วนหนึ่งของการผลิตยานยนต์อื่นๆ ซึ่งมิได้จัดประเภทไว้ในที่อื่น</t>
  </si>
  <si>
    <t>ตัวถังยานยนต์ รถพ่วงและรถกึ่งพ่วง</t>
  </si>
  <si>
    <t>ตัวถังยานยนต์</t>
  </si>
  <si>
    <t>ตัวถังยานยนต์ และแค้ปสำหรับยานยนต์</t>
  </si>
  <si>
    <t>บริการซ่อม ประกอบ และติดตั้งตัวถังสำหรับยานยนต์ และบริการรับจ้างเหมาที่เป็นส่วนหนึ่งของการผลิตตัวถังยานยนต์</t>
  </si>
  <si>
    <t>รถพ่วงและรถกึ่งพ่วง</t>
  </si>
  <si>
    <t>รถพ่วงและรถกึ่งพ่วงแบบคาราวานสำหรับใช้เป็นที่อยู่อาศัยหรือที่พักแรม</t>
  </si>
  <si>
    <t>รถพ่วงและรถกึ่งพ่วงสำหรับบรรจุของเหลวหรือก๊าซ (แท้งเกอร์) รถพ่วงและรถกึ่งพ่วงอื่นๆ สำหรับใช้ในการขนส่งสินค้า และรถพ่วงและรถกึ่งพ่วงอื่นๆ</t>
  </si>
  <si>
    <t>ส่วนประกอบของรถพ่วงและรถกึ่งพ่วง และยานยานต์อื่นๆ ที่ไม่ได้ขับเคลื่อนทางกล</t>
  </si>
  <si>
    <t>บริการติดตั้งรถแบบคาราวานและบ้านเคลื่อนที่ และบริการรับจ้างเหมาที่เป็นส่วนหนึ่งของการผลิตรถพ่วงและรถกึ่งพ่วง</t>
  </si>
  <si>
    <t>ตู้คอนเทนเนอร์</t>
  </si>
  <si>
    <t>ตู้คอนเทนเนอร์ (รวมถึงตู้คอนเทนเนอร์สำหรับขนส่งของไหล) ที่ออกแบบและติดตั้งเป็นพิเศษสำหรับการขนส่งตั้งแต่หนึ่งวิธีขึ้นไป</t>
  </si>
  <si>
    <t>บริการรับจ้างเหมาที่เป็นส่วนหนึ่งของการผลิตตู้คอนเทนเนอร์</t>
  </si>
  <si>
    <t>ชิ้นส่วนและอุปกรณ์เสริมสำหรับยานยนต์</t>
  </si>
  <si>
    <t>ที่นั่งภายในยานยนต์</t>
  </si>
  <si>
    <t>บริการรับจ้างเหมาที่เป็นส่วนหนึ่งของการผลิตที่นั่งภายในยานยนต์</t>
  </si>
  <si>
    <t>อุปกรณ์ไฟฟ้าสำหรับยานยนต์</t>
  </si>
  <si>
    <t>ชุดสายไฟจุดระเบิดและชุดสายไฟอื่นๆ ชนิดที่ใช้กับยานยนต์</t>
  </si>
  <si>
    <t>อุปกรณ์ไฟฟ้าอื่นๆ สำหรับยานยนต์</t>
  </si>
  <si>
    <t>หัวเทียน แมกนีโตจุดระเบิด แมกนีโตไดนาโม แมกนีติกฟลายวีล จานจ่ายไฟ และคอยล์จุดระเบิดสำหรับยานยนต์</t>
  </si>
  <si>
    <t>สตาร์ตเตอร์มอเตอร์และที่เป็นทั้งสตาร์ตเตอร์และเครื่องกำเนิดไฟฟ้า เครื่องกำเนิดไฟฟ้าอื่นๆ และเครื่องอุปกรณ์อื่นๆ สำหรับยานยนต์ เช่น โกลว์ปลั๊ก คัทเอาท์ เรกูเรเตอร์</t>
  </si>
  <si>
    <t>เครื่องอุปกรณ์ไฟฟ้าสำหรับให้แสงสว่างหรือให้สัญญาณ เครื่องปัดน้ำฝน เครื่องละลายน้ำแข็ง และเครื่องกำจัดฝ้าชนิดใช้กับยานยนต์</t>
  </si>
  <si>
    <t>ส่วนประกอบของอุปกรณ์ไฟฟ้าสำหรับยานยนต์</t>
  </si>
  <si>
    <t>บริการรับจ้างเหมาที่เป็นส่วนหนึ่งของการผลิตอุปกรณ์ไฟฟ้าสำหรับยานยนต์</t>
  </si>
  <si>
    <t>ชิ้นส่วนและอุปกรณ์เสริมอื่นๆ สำหรับยานยนต์</t>
  </si>
  <si>
    <t>ถุงลมนิรภัย เข็มขัดนิรภัย และอุปกรณ์ประกอบของตัวถัง</t>
  </si>
  <si>
    <t>บริการรับจ้างเหมาที่เป็นส่วนหนึ่งของการผลิตชิ้นส่วนและอุปกรณ์เสริมอื่นๆ สำหรับยานยนต์</t>
  </si>
  <si>
    <t>อุปกรณ์ขนส่งอื่นๆ</t>
  </si>
  <si>
    <t>เรือ</t>
  </si>
  <si>
    <t>เรือใหญ่และสิ่งก่อสร้างลอยน้ำ</t>
  </si>
  <si>
    <t>เรือรบ</t>
  </si>
  <si>
    <t>เรือเพื่อการขนส่งผู้โดยสารหรือสินค้า</t>
  </si>
  <si>
    <t>เรือโดยสาร เรือทัศนาจร เรือข้ามฟาก เรือสินค้า เรือพ่วง และยานน้ำที่คล้ายกันสำหรับขนส่งผู้โดยสารหรือสินค้า</t>
  </si>
  <si>
    <t>เรือบรรทุกน้ำมันดิบ ผลิตภัณฑ์น้ำมัน เคมี ก๊าซเหลว (แท้งเกอร์)</t>
  </si>
  <si>
    <t>ยานน้ำที่มีห้องเย็น</t>
  </si>
  <si>
    <t>เรือบรรทุกสินค้าแห้ง</t>
  </si>
  <si>
    <t>เรือประมงและเรืออื่นๆ ที่ออกแบบมาเป็นพิเศษ</t>
  </si>
  <si>
    <t>เรือประมง เรือโรงงาน และยานน้ำอื่นๆ ที่ใช้เพื่อการแปรรูปหรือถนอมผลิตภัณฑ์ประมง</t>
  </si>
  <si>
    <t>เรืออื่นๆ ที่ไม่ได้ใช้เพื่อการขนส่ง เช่น เรือลากจูงหรือเรือที่ใช้สำหรับดัน</t>
  </si>
  <si>
    <t>เรือขุด ยานประภาคาร ปั้นจั่นลอย และยานน้ำอื่นๆ</t>
  </si>
  <si>
    <t>แท่นเจาะหรือแท่นผลิตแบบลอยน้ำหรือแบบใต้น้ำ</t>
  </si>
  <si>
    <t>สิ่งก่อสร้างลอยน้ำอื่นๆ</t>
  </si>
  <si>
    <t>บริการดัดแปลง ซ่อมแซม และติดตั้งเรือและสิ่งก่อสร้างลอยน้ำ และบริการรับจ้างเหมาที่เป็นส่วนหนึ่งของการผลิตเรือและสิ่งก่อสร้างลอยน้ำ</t>
  </si>
  <si>
    <t>เรือที่ใช้เพื่อความสำราญและการกีฬา</t>
  </si>
  <si>
    <t>เรือใบที่มีหรือไม่มีมอเตอร์ช่วย</t>
  </si>
  <si>
    <t>เรือและแพชนิดพองลมที่ใช้เพื่อความสำราญและการกีฬา</t>
  </si>
  <si>
    <t>เรือกรรเชียง เรือแคนนู เรือคายัค และเรือพาย และเรืออื่นๆ ที่ใช้เพื่อความสำราญและการกีฬา</t>
  </si>
  <si>
    <t>บริการรับจ้างเหมาที่เป็นส่วนหนึ่งของการผลิตเรือที่ใช้เพื่อความสำราญและการกีฬา</t>
  </si>
  <si>
    <t>หัวรถจักรและตู้สำหรับขนส่งทางรถไฟและรถราง</t>
  </si>
  <si>
    <t>หัวรถจักรและรถสัมภาระของหัวรถจักร</t>
  </si>
  <si>
    <t>หัวรถจักรที่ใช้กำลังจากแหล่งจ่ายไฟฟ้าภายนอก</t>
  </si>
  <si>
    <t>หัวรถจักรดีเซลไฟฟ้า</t>
  </si>
  <si>
    <t>หัวรถจักรอื่นๆ และรถสัมภาระของหัวรถจักร</t>
  </si>
  <si>
    <t>รถโดยสาร รถสินค้าชนิดตู้และชนิดกระบะที่เดินบนรางรถไฟหรือรางรถรางชนิดขับเคลื่อนได้ในตัว (ยกเว้นยานซ่อมบำรุงทางรถไฟหรือรถราง)</t>
  </si>
  <si>
    <t>รถที่เดินบนรางอื่นๆ</t>
  </si>
  <si>
    <t>ยานซ่อมบำรุงทางรถไฟหรือรถราง จะขับเคลื่อนได้ในตัวหรือไม่ก็ตาม (เช่น โรงซ่อมเคลื่อนที่ รถปั้นจั่น รถอัดหินโรยทาง รถสำหรับวางราง รถทดสอบ และรถตรวจสอบราง)</t>
  </si>
  <si>
    <t>รถโดยสารที่เดินบนรางรถไฟหรือรถราง ไม่ใช่ชนิดขับเคลื่อนได้ในตัว รถบรรทุกสัมภาระ รถที่ทำการไปรษณีย์ และรถที่ใช้ในกิจการพิเศษอื่นๆ</t>
  </si>
  <si>
    <t>แท้งค์แวกอนและที่คล้ายกัน รถสินค้าชนิดตู้ทึบและตู้โปร่งที่เดินบนรางรถไฟหรือรถราง ไม่ใช่ชนิดขับเคลื่อนได้ในตัว</t>
  </si>
  <si>
    <t>ส่วนประกอบของหัวรถจักรและตู้สำหรับขนส่งทางรถไฟและรถราง สิ่งติดตั้งถาวร อุปกรณ์ติดตั้ง และชิ้นส่วนของของดังกล่าว และส่วนประกอบของเครื่องอุปกรณ์กลควบคุมการจราจร</t>
  </si>
  <si>
    <t>บริการดัดแปลงและติดตั้งหัวรถจักรและรถสัมภาระของหัวรถจักร และบริการรับจ้างเหมาที่เป็นส่วนหนึ่งของการผลิตหัวรถจักรและรถสัมภาระของหัวรถจักร</t>
  </si>
  <si>
    <t>อากาศยาน ยานอวกาศ และเครื่องจักรที่เกี่ยวข้อง</t>
  </si>
  <si>
    <t>มอเตอร์และเครื่องยนต์ของอากาศยานหรือยานอวกาศ เครื่องปล่อยยานอวกาศ อุปกรณ์บนเรือบรรทุกเครื่องบินสำหรับลดความเร็วของอากาศยาน เครื่องฝึกการบินภาคพื้นดิน และส่วนประกอบของของดังกล่าว</t>
  </si>
  <si>
    <t>เครื่องยนต์ที่ใช้กับอากาศยานชนิดจุดระเบิดด้วยประกายไฟ</t>
  </si>
  <si>
    <t xml:space="preserve">เครื่องกังหันไอพ่นและเครื่องกังหันใบพัด </t>
  </si>
  <si>
    <t>เครื่องยนต์ที่ขับเคลื่อนด้วยแรงปฏิกิริยา (รีแอ็กชันเอนจิน) (ยกเว้นเครื่องกังหันไอพ่น)</t>
  </si>
  <si>
    <t>เครื่องฝึกการบินรบจำลอง เครื่องฝึกการบินภาคพื้นดิน และส่วนประกอบของของดังกล่าว</t>
  </si>
  <si>
    <t>ส่วนประกอบของเครื่องยนต์ที่ใช้กับอากาศยานชนิดจุดระเบิดด้วยประกายไฟ</t>
  </si>
  <si>
    <t>ส่วนประกอบของเครื่องกังหันไอพ่นและเครื่องกังหันใบพัด</t>
  </si>
  <si>
    <t>บอลลูน โพยมยาน เครื่องบินร่อน เครื่องร่อน และอากาศยานอื่นๆ ที่ไม่ใช้กำลังขับ</t>
  </si>
  <si>
    <t>เฮลิคอปเตอร์และเครื่องบิน</t>
  </si>
  <si>
    <t>เฮลิคอปเตอร์</t>
  </si>
  <si>
    <t xml:space="preserve">เครื่องบินและอากาศยานอื่นๆ </t>
  </si>
  <si>
    <t>ยานอวกาศ (รวมถึงดาวเทียม) ยานปล่อยสิ่งของในวงโคจรย่อย และยานปล่อยยานอวกาศ</t>
  </si>
  <si>
    <t>ส่วนประกอบของบอลลูนและโพยมยาน เฮลิคอปเตอร์และเครื่องบิน บอลลูน เครื่องบินร่อน ยานอวกาศ (รวมถึงดาวเทียม) ยานปล่อยของในวงโคจรย่อย และยานปล่อยยานอวกาศ</t>
  </si>
  <si>
    <t>บริการยกเครื่องและดัดแปลงอากาศยานและเครื่องยนต์อากาศยาน และบริการรับจ้างเหมาที่เป็นส่วนหนึ่งของการผลิตอากาศยาน ยานอวกาศ และเครื่องจักรที่เกี่ยวข้อง</t>
  </si>
  <si>
    <t>ยานยนต์ทางการทหารเพื่อใช้ในการสู้รบ</t>
  </si>
  <si>
    <t>รถถังและยานรบหุ้มเกราะอื่นๆ ที่ขับด้วยมอเตอร์ จะติดตั้งอาวุธด้วยหรือไม่ก็ตาม และส่วนประกอบของยานดังกล่าว</t>
  </si>
  <si>
    <t>บริการรับจ้างเหมาที่เป็นส่วนหนึ่งของการผลิตยานยนต์ทางการทหารเพื่อใช้ในการสู้รบ</t>
  </si>
  <si>
    <t>อุปกรณ์ขนส่ง ซึ่งมิได้จัดประเภทไว้ในที่อื่น</t>
  </si>
  <si>
    <t>จักรยานยนต์</t>
  </si>
  <si>
    <t>จักรยานยนต์และรถพ่วงข้าง</t>
  </si>
  <si>
    <t>จักรยานยนต์ (รวมถึงโมเพ็ด) และรถจักรยานที่ติดตั้งมอเตอร์ช่วย (มีหรือไม่มีรถพ่วงข้าง) มีเครื่องยนต์สันดาปภายในแบบลูกสูบเคลื่อนตรงที่มีความจุของกระบอกสูบไม่เกิน 50 ลูกบาศก์เซนติเมตร</t>
  </si>
  <si>
    <t>จักรยานยนต์ (รวมถึงโมเพ็ด) และรถจักรยานที่ติดตั้งมอเตอร์ช่วย (มีหรือไม่มีรถพ่วงข้าง) มีเครื่องยนต์สันดาปภายในแบบลูกสูบเคลื่อนตรงที่มีความจุของกระบอกสูบเกิน 50 ลูกบาศก์เซนติเมตร</t>
  </si>
  <si>
    <t xml:space="preserve">รถพ่วงข้างและจักรยานยนต์อื่นๆ </t>
  </si>
  <si>
    <t>บริการรับจ้างเหมาที่เป็นส่วนหนึ่งของการผลิตจักรยานยนต์และรถพ่วงข้าง</t>
  </si>
  <si>
    <t>เครื่องยนต์ ชิ้นส่วนและอุปกรณ์เสริมสำหรับจักรยานยนต์</t>
  </si>
  <si>
    <t>เครื่องยนต์สันดาปภายในชนิดใช้สำหรับจักรยานยนต์</t>
  </si>
  <si>
    <t xml:space="preserve">อานรถ และส่วนประกอบและอุปกรณ์เสริมสำหรับจักรยานยนต์ </t>
  </si>
  <si>
    <t>บริการรับจ้างเหมาที่เป็นส่วนหนึ่งของการผลิตเครื่องยนต์ ชิ้นส่วนและอุปกรณ์เสริมสำหรับจักรยานยนต์</t>
  </si>
  <si>
    <t>รถจักรยานและรถสำหรับคนพิการ</t>
  </si>
  <si>
    <t>รถจักรยาน</t>
  </si>
  <si>
    <t>รถจักรยานสองล้อและรถจักรยานอื่นๆ (รวมถึงรถสามล้อส่งของ) ที่ไม่ขับเคลื่อนด้วยมอเตอร์</t>
  </si>
  <si>
    <t>ส่วนประกอบของรถจักรยานสองล้อและรถจักรยานอื่นๆ (รวมถึงรถสามล้อส่งของ) ที่ไม่ขับเคลื่อนด้วยมอเตอร์</t>
  </si>
  <si>
    <t>บริการรับจ้างเหมาที่เป็นส่วนหนึ่งของการผลิตรถจักรยาน</t>
  </si>
  <si>
    <t>รถสำหรับคนพิการ</t>
  </si>
  <si>
    <t>รถสำหรับคนพิการ จะขับเคลื่อนด้วยมอเตอร์หรือขับเคลื่อนทางกลโดยวิธีอื่นหรือไม่ก็ตาม และส่วนประกอบของรถดังกล่าว</t>
  </si>
  <si>
    <t>รถเข็นเด็กและส่วนประกอบของรถดังกล่าว</t>
  </si>
  <si>
    <t>บริการรับจ้างเหมาที่เป็นส่วนหนึ่งของการผลิตรถสำหรับคนพิการและรถเข็นเด็ก</t>
  </si>
  <si>
    <t>อุปกรณ์ขนส่งอื่นๆ ซึ่งมิได้จัดประเภทไว้ในที่อื่น</t>
  </si>
  <si>
    <t>รถลากสองล้อและรถลากสี่ล้อ ล้อเลื่อนขนกระสอบ รถเข็นที่ใช้งานด้วยมือ และยานขับเคลื่อนด้วยมือที่คล้ายกันชนิดใช้ในโรงงานหรือ โรงซ่อม รถเข็นสำหรับขนดินหรือขนทราย รถเข็นกระเป๋าเดินทาง รถเข็นสำหรับซื้อสินค้า รถเทียมลากโดยสัตว์ และอุปกรณ์ขนส่งอื่นๆ ซึ่งมิได้จัดประเภทไว้ในที่อื่นและส่วนประกอบ</t>
  </si>
  <si>
    <t>บริการรับจ้างเหมาที่เป็นส่วนหนึ่งของการผลิตอุปกรณ์ขนส่งอื่นๆ ซึ่งมิได้จัดประเภทไว้ในที่อื่น</t>
  </si>
  <si>
    <t>เฟอร์นิเจอร์</t>
  </si>
  <si>
    <t>เฟอร์นิเจอร์ไม้</t>
  </si>
  <si>
    <t>เฟอร์นิเจอร์ไม้ชนิดใช้ในสำนักงาน</t>
  </si>
  <si>
    <t>เฟอร์นิเจอร์ไม้ชนิดใช้ในครัว</t>
  </si>
  <si>
    <t>เฟอร์นิเจอร์ไม้ชนิดใช้เพื่อวัตถุประสงค์อื่น</t>
  </si>
  <si>
    <t>ที่นั่งและส่วนประกอบของเฟอร์นิเจอร์ไม้</t>
  </si>
  <si>
    <t>บริการรับจ้างเหมาที่เป็นส่วนหนึ่งของการผลิตที่นั่งและส่วนประกอบของเฟอร์นิเจอร์ไม้ และเฟอร์นิเจอร์ไม้</t>
  </si>
  <si>
    <t>เฟอร์นิเจอร์โลหะ</t>
  </si>
  <si>
    <t>เฟอร์นิเจอร์โลหะชนิดใช้ในสำนักงาน</t>
  </si>
  <si>
    <t>เฟอร์นิเจอร์โลหะชนิดใช้เพื่อวัตถุประสงค์อื่น</t>
  </si>
  <si>
    <t>ที่นั่งและส่วนประกอบของเฟอร์นิเจอร์โลหะ</t>
  </si>
  <si>
    <t>บริการรับจ้างเหมาที่เป็นส่วนหนึ่งของการผลิตที่นั่งและส่วนประกอบของเฟอร์นิเจอร์โลหะ และเฟอร์นิเจอร์โลหะ</t>
  </si>
  <si>
    <t>ฐานรองที่นอนและที่นอน</t>
  </si>
  <si>
    <t>ฐานรองที่นอน</t>
  </si>
  <si>
    <t>ที่นอน</t>
  </si>
  <si>
    <t>บริการรับจ้างเหมาที่เป็นส่วนหนึ่งของการผลิตฐานรองที่นอนและที่นอน</t>
  </si>
  <si>
    <t>เฟอร์นิเจอร์อื่นๆ</t>
  </si>
  <si>
    <t>เฟอร์นิเจอร์ที่ทำจากไม้ไผ่ หวาย กก หรือวัตถุอื่นๆ ที่คล้ายกัน</t>
  </si>
  <si>
    <t>เฟอร์นิเจอร์ที่ทำจากพลาสติกและวัสดุอื่นๆ</t>
  </si>
  <si>
    <t>ที่นั่งและส่วนประกอบของเฟอร์นิเจอร์อื่นๆ</t>
  </si>
  <si>
    <t>บริการหุ้มเบาะเฟอร์นิเจอร์  บริการแต่งสำเร็จเฟอร์นิเจอร์ และบริการรับจ้างเหมาที่เป็นส่วนหนึ่งของการผลิตเฟอร์นิเจอร์อื่นๆ</t>
  </si>
  <si>
    <t>บริการหุ้มเบาะเฟอร์นิเจอร์</t>
  </si>
  <si>
    <t>บริการแต่งสำเร็จเฟอร์นิเจอร์ เช่น การฉีดพ่น การทาสี การขัดเงา</t>
  </si>
  <si>
    <t>บริการรับจ้างเหมาที่เป็นส่วนหนึ่งของการผลิตเฟอร์นิเจอร์อื่นๆ</t>
  </si>
  <si>
    <t>ผลิตภัณฑ์อื่นๆ</t>
  </si>
  <si>
    <t>เครื่องประดับเพชรพลอย เครื่องประดับอัญมณี และสิ่งของที่เกี่ยวข้อง</t>
  </si>
  <si>
    <t>การผลิตเครื่องประดับเพชรพลอยแท้และสิ่งของที่เกี่ยวข้อง</t>
  </si>
  <si>
    <t>เครื่องประดับเพชรพลอยและโลหะมีค่า</t>
  </si>
  <si>
    <t>เครื่องเพชรพลอยและรูปพรรณและส่วนประกอบของของดังกล่าว ที่ทำจากโลหะมีค่าหรือทำจากโลหะที่หุ้มติดด้วยโลหะมีค่า</t>
  </si>
  <si>
    <t>เครื่องเพชรพลอยและรูปพรรณและส่วนประกอบของของดังกล่าว ที่ทำจากไข่มุกธรรมชาติหรือไข่มุกเลี้ยง รัตนชาติและกึ่งรัตนชาติ (ธรรมชาติ สังเคราะห์ หรือทำขึ้นใหม่)</t>
  </si>
  <si>
    <t>สายนาฬิกาชนิดวอตช์ที่ทำจากโลหะมีค่าหรือโลหะที่หุ้มติดด้วยโลหะมีค่า</t>
  </si>
  <si>
    <t>บริการรับจ้างเหมาที่เป็นส่วนหนึ่งของการผลิตเครื่องประดับเพชรพลอยและโลหะมีค่า</t>
  </si>
  <si>
    <t>สิ่งของเครื่องใช้จากเพชรพลอยและโลหะมีค่า</t>
  </si>
  <si>
    <t>เหรียญกษาปณ์ รวมถึงเหรียญทองคำและเหรียญอื่นๆ ที่ชำระหนี้ตามกฎหมายได้หรือไม่ก็ตาม</t>
  </si>
  <si>
    <t>ของที่ทำจากรัตนชาติและกึ่งรัตนชาติ เครื่องทอง เครื่องเงิน และของอื่นๆ ที่ทำจากโลหะมีค่า (ยกเว้นเครื่องเพชรพลอยและรูปพรรณ)</t>
  </si>
  <si>
    <t>ของที่ทำจากรัตนชาติและกึ่งรัตนชาติ (ธรรมชาติ สังเคราะห์ หรือทำขึ้นใหม่)</t>
  </si>
  <si>
    <t>เครื่องทอง เครื่องเงิน และเครื่องใช้ ที่ทำจากโลหะมีค่า</t>
  </si>
  <si>
    <t>ของอื่นๆ ที่ทำจากโลหะมีค่า เช่น ตัวคะตะไลส์ที่มีลักษณะแบบผ้าหรือตะแกรงที่ทำจากแพลทินัม ของใช้ในทางเทคนิคหรือห้องปฏิบัติการและของอื่นๆ ที่ทำจากโลหะมีค่า เช่น เบ้าหลอมโลหะ ช้อนที่แพทย์ใช้กดลิ้น ขั้วไฟฟ้า อาโนดสำหรับชุบเคลือบด้วยไฟฟ้า หม้อกลั่น ชาม และเครื่องประกอบที่ทำจากทองคำขาว เป็นต้น</t>
  </si>
  <si>
    <t>บริการรับจ้างเหมาที่เป็นส่วนหนึ่งของการผลิตสิ่งของเครื่องใช้จากเพชรพลอยและโลหะมีค่า</t>
  </si>
  <si>
    <t>เพชรพลอยที่ตกแต่งแล้ว</t>
  </si>
  <si>
    <t>ไข่มุก เพชร (ยกเว้นชนิดใช้ในทางอุตสาหกรรม) รัตนชาติและกึ่งรัตนชาติที่ตกแต่งแล้ว แต่ไม่ได้ร้อยเข้าด้วยกันหรือประกอบกับตัวเรือน หรืออาจร้อยเข้าด้วยกันเพียงชั่วคราวเพื่อสะดวกแก่การขนส่ง</t>
  </si>
  <si>
    <t>เพชรชนิดใช้ในอุตสาหกรรมที่ตกแต่งแล้ว ฝุ่นและผงของรัตนชาติหรือกึ่งรัตนชาติ ที่ได้จากธรรมชาติหรือจากการสังเคราะห์</t>
  </si>
  <si>
    <t>บริการรับจ้างเหมาที่เป็นส่วนหนึ่งของการเจียระไนและการขัดเพชรพลอย</t>
  </si>
  <si>
    <t>เครื่องประดับเพชรพลอยเทียมและสิ่งของที่เกี่ยวข้อง</t>
  </si>
  <si>
    <t>สายนาฬิกาข้อมือที่ทำจากโลหะ จะชุบด้วยโลหะมีค่าหรือไม่ก็ตาม</t>
  </si>
  <si>
    <t>กระดุมข้อมือและสตัด ที่ทำจากโลหะสามัญ จะชุบด้วยโลหะมีค่าหรือไม่ก็ตาม และเครื่องประดับเพชรพลอยและรูปพรรณอื่นๆ ที่เป็นของเทียม</t>
  </si>
  <si>
    <t>บริการรับจ้างเหมาที่เป็นส่วนหนึ่งของการผลิตเครื่องประดับเพชรพลอยเทียมและสิ่งของที่เกี่ยวข้อง</t>
  </si>
  <si>
    <t>เครื่องดนตรี</t>
  </si>
  <si>
    <t>เครื่องดนตรีไทย</t>
  </si>
  <si>
    <t xml:space="preserve">ซออู้ ซอด้วง จะเข้ และเครื่องสายอื่นๆ </t>
  </si>
  <si>
    <t>ขลุ่ย และเครื่องดนตรีอื่นๆ ที่ใช้เป่า</t>
  </si>
  <si>
    <t>กลองและเครื่องดนตรีไทยอื่นๆ</t>
  </si>
  <si>
    <t>ส่วนประกอบของเครื่องดนตรีไทย</t>
  </si>
  <si>
    <t>บริการรับจ้างเหมาที่เป็นส่วนหนึ่งของการผลิตเครื่องดนตรีไทย</t>
  </si>
  <si>
    <t>เครื่องดนตรีอื่นๆ</t>
  </si>
  <si>
    <t>เปียโนและเปียโนอัตโนมัติ ฮาร์ปซิคอร์ดและเครื่องสายอื่นๆ ที่มีคีย์บอร์ด</t>
  </si>
  <si>
    <t xml:space="preserve">กีตาร์ ไวโอลิน ไวอัล ไวโอลาร์ พิณ และเครื่องสายอื่นๆ </t>
  </si>
  <si>
    <t>เครื่องเป่าชนิดทองเหลือง (เช่น เฟรนช์ฮอร์น ทรอมโบน ทรัมเป็ต) ออร์แกนแบบท่อลมที่มีคีย์บอร์ด ฮาร์โมเนียมและเครื่องดนตรีแบบมีลิ้นโลหะและคีย์บอร์ดที่คล้ายกัน หีบเพลงชักและเครื่องดนตรีที่คล้ายกัน หีบเพลงเป่า และเครื่องดนตรีอื่นๆ ที่ใช้เป่า</t>
  </si>
  <si>
    <t>ออร์แกนและเครื่องดนตรีอื่นๆ ที่มีคีย์บอร์ด กีตาร์ไฟฟ้า หีบเพลงชัก และเครื่องดนตรีที่ใช้ไฟฟ้าให้เกิดเสียงหรือขยายเสียง</t>
  </si>
  <si>
    <t>เครื่องให้จังหวะดนตรี (เมโทรโนม) ส้อมและหลอดเป่าทุกชนิดสำหรับเทียบเสียง</t>
  </si>
  <si>
    <t>เครื่องดนตรีอื่นๆ ซึ่งมิได้จัดประเภทไว้ในที่อื่น</t>
  </si>
  <si>
    <t xml:space="preserve">ส่วนประกอบของเครื่องดนตรีอื่นๆ </t>
  </si>
  <si>
    <t>บริการรับจ้างเหมาที่เป็นส่วนหนึ่งของการผลิตเครื่องดนตรีอื่นๆ</t>
  </si>
  <si>
    <t>เครื่องกีฬา</t>
  </si>
  <si>
    <t>ลูกบอลที่ใช้ในการกีฬา</t>
  </si>
  <si>
    <t>ลูกบอลที่ใช้ในการกีฬา เช่น ลูกกอล์ฟ ลูกเทเบิลเทนนิส ลูกเทนนิส ลูกฟุตบอล ลูกบาสเกตบอล ลูกวอลเลย์ และลูกบอลอื่นๆ ชนิดพองลมได้ และลูกบอลอื่นๆ ที่ใช้ในการกีฬา</t>
  </si>
  <si>
    <t>บริการรับจ้างเหมาที่เป็นส่วนหนึ่งของการผลิตลูกบอลที่ใช้ในการกีฬา</t>
  </si>
  <si>
    <t>กระดานโต้คลื่นและเครื่องอุปกรณ์กีฬาทางน้ำ</t>
  </si>
  <si>
    <t>รองเท้าสกีน้ำ กระดานโต้คลื่น กระดานโต้คลื่นชนิดมีใบ และเครื่องอุปกรณ์อื่นๆ สำหรับเล่นกีฬาทางน้ำ</t>
  </si>
  <si>
    <t>บริการรับจ้างเหมาที่เป็นส่วนหนึ่งของการผลิตกระดานโต้คลื่นและเครื่องอุปกรณ์กีฬาทางน้ำ</t>
  </si>
  <si>
    <t>อุปกรณ์กีฬาตกปลา</t>
  </si>
  <si>
    <t>อุปกรณ์กีฬาตกปลา เช่น คันเบ็ด เบ็ดจะผูกกับสายนำหรือไม่ก็ตาม รอกม้วนสายเบ็ด เป็นต้น</t>
  </si>
  <si>
    <t>บริการรับจ้างเหมาที่เป็นส่วนหนึ่งของการผลิตอุปกรณ์กีฬาตกปลา</t>
  </si>
  <si>
    <t>เครื่องกีฬาอื่นๆ</t>
  </si>
  <si>
    <t>ของและเครื่องอุปกรณ์สำหรับใช้ในการออกกำลังกายทั่วไป การเล่นยิมนาสติกหรือกรีฑา</t>
  </si>
  <si>
    <t>อุปกรณ์กีฬาอื่นๆ</t>
  </si>
  <si>
    <t>รองเท้าสกีหิมะและเครื่องอุปกรณ์อื่นๆ สำหรับเล่นสกีหิมะ สเก็ตน้ำแข็ง สเก็ตลูกล้อ และรองเท้าสเก็ตที่มีสเก็ตติดอยู่</t>
  </si>
  <si>
    <t>อุปกรณ์กีฬาอื่นๆ ซึ่งมิได้จัดประเภทไว้ในที่อื่น</t>
  </si>
  <si>
    <t>บริการรับจ้างเหมาที่เป็นส่วนหนึ่งของการผลิตอุปกรณ์กีฬาอื่นๆ</t>
  </si>
  <si>
    <t>เกมและของเล่น</t>
  </si>
  <si>
    <t>ของเล่นที่มีล้อ</t>
  </si>
  <si>
    <t>รถจักรยานสามล้อ สกูตเตอร์ รถยนต์ที่ใช้เท้าถีบ และของเล่นที่มีล้อ ที่คล้ายกัน รวมถึงรถเข็นสำหรับตุ๊กตา</t>
  </si>
  <si>
    <t>บริการรับจ้างเหมาที่เป็นส่วนหนึ่งของการผลิตของเล่นที่มีล้อ</t>
  </si>
  <si>
    <t>ตุ๊กตา</t>
  </si>
  <si>
    <t>ตุ๊กตาและส่วนประกอบ</t>
  </si>
  <si>
    <t>ตุ๊กตารูปคน</t>
  </si>
  <si>
    <t>ของเล่นรูปสัตว์หรือรูปประดิษฐ์ที่ไม่ใช่คน</t>
  </si>
  <si>
    <t>ส่วนประกอบและอุปกรณ์ประกอบของตุ๊กตา</t>
  </si>
  <si>
    <t>บริการรับจ้างเหมาที่เป็นส่วนหนึ่งของการผลิตตุ๊กตา</t>
  </si>
  <si>
    <t>เกมและของเล่นอื่นๆ</t>
  </si>
  <si>
    <t>รถไฟไฟฟ้า รวมถึงทางรถไฟ สัญญาณและอุปกรณ์ประกอบอื่นๆ หุ่นจำลองย่อขนาด (“มาตราส่วน”) และหุ่นจำลองที่คล้ายกันเพื่อนันทนาการ จะเคลื่อนไหวได้หรือไม่ก็ตาม ชุดของเล่นประกอบ (คอนสตรักชันเซ็ต) และของเล่นประกอบ (คอนสตรักชันแนลทอย) อื่นๆ</t>
  </si>
  <si>
    <t>รถไฟไฟฟ้า รวมถึงทางรถไฟ สัญญาณและอุปกรณ์ประกอบอื่นๆ  หุ่นจำลองย่อขนาด (“มาตราส่วน”) และหุ่นจำลองที่คล้ายกันเพื่อนันทนาการ จะเคลื่อนไหวได้หรือไม่ก็ตาม ชุดของเล่นประกอบ (คอนสตรักชันเซ็ต) และของเล่นประกอบ (คอนสตรักชันแนลทอย) อื่นๆ</t>
  </si>
  <si>
    <t>ของเล่นสำหรับฝึกสมอง</t>
  </si>
  <si>
    <t>ไพ่</t>
  </si>
  <si>
    <t>โต๊ะและอุปกรณ์ประกอบสำหรับบิลเลียดทุกชนิด ของเล่นเกมอื่นๆ ที่ทำงานโดยใช้เหรียญ ธนบัตร เหรียญที่ใช้แทนเงิน หรือวิธีการชำระเงินอื่นๆ  เกมปาเป้า โต๊ะและอุปกรณ์สำหรับการเล่นการพนัน และของอื่นๆ สำหรับใช้เล่นเกมในสถานที่พักผ่อนหย่อนใจ</t>
  </si>
  <si>
    <t>บล็อกตัวเลข บล็อกตัวอักษร หรือบล็อกรูปสัตว์ หรือคัดเอาต์ ชุดสร้างคำศัพท์ ชุดสร้างและออกเสียงคำศัพท์ ชุดพิมพ์ภาพที่เป็นของเล่น ลูกคิดของเล่น เชือกที่ใช้กระโดด เกมและของเล่นอื่นๆ ซึ่งมิได้จัดประเภทไว้ในที่อื่น</t>
  </si>
  <si>
    <t>บริการรับจ้างเหมาที่เป็นส่วนหนึ่งของการผลิตเกมและของเล่นอื่นๆ</t>
  </si>
  <si>
    <t>เครื่องมือและอุปกรณ์ในทางการแพทย์และทางทันตกรรม</t>
  </si>
  <si>
    <t>เครื่องมือและอุปกรณ์ในทางการแพทย์</t>
  </si>
  <si>
    <t>เครื่องมือและอุปกรณ์ในทางการแพทย์และศัลยกรรม</t>
  </si>
  <si>
    <t>เครื่องสเตอร์รีไลส์ที่ใช้ในทางการแพทย์ศัลยกรรม และเครื่องอุปกรณ์สำหรับการกลั่นชนิดใช้ในห้องปฏิบัติการ</t>
  </si>
  <si>
    <t>เครื่องหมุนเหวี่ยง (centrifuges) ชนิดใช้ในห้องปฏิบัติการ และเทอร์โมมิเตอร์ที่ใช้ในทางการแพทย์ หลอดฉีดยา เข็มฉีดยา แกนสอด (แคนูลา) หลอดสวน อุปกรณ์และเครื่องใช้เกี่ยวกับนัยน์ตา รวมถึงอุปกรณ์และเครื่องใช้อื่นๆ ซึ่งมิได้จัดประเภทไว้ในที่อื่น</t>
  </si>
  <si>
    <t>เครื่องอุปกรณ์ที่ใช้ในการบำบัดรักษาโรค อวัยวะเทียม และเครื่องใช้ทางศัลยศาสตร์กระดูก</t>
  </si>
  <si>
    <t>เครื่องใช้ในการบำบัดโรคโดยวิธีทางกล เครื่องนวด เครื่องทดสอบความถนัดในทางจิตวิทยา  เครื่องบำบัดโรคด้วยโอโซน ด้วยออกซิเจน ด้วยละอองนํ้ายา เครื่องช่วยการหายใจ หรือเครื่องอุปกรณ์อื่นๆ ที่ใช้บำบัดโรคทางเดินหายใจ</t>
  </si>
  <si>
    <t>ข้อต่อเทียม เครื่องใช้ทางศัลยศาสตร์กระดูก ไม้ยันรักแร้ สายรัดทางศัลยกรรม เครื่องกดไส้เลื่อน เฝือกและเครื่องใช้อื่นๆ ในการรักษากระดูกหัก ตาปลอม และอวัยวะเทียมอื่นๆ ของร่างกาย (ยกเว้นฟันปลอมและอุปกรณ์ติดตั้งเกี่ยวกับฟัน)</t>
  </si>
  <si>
    <t>ส่วนประกอบและอุปกรณ์ประกอบของเครื่องอุปกรณ์ที่ใช้ในการบำบัด รักษาโรค อวัยวะเทียม และเครื่องใช้ทางศัลยศาสตร์กระดูก</t>
  </si>
  <si>
    <t>เฟอร์นิเจอร์ที่ใช้ในทางการแพทย์ ศัลยกรรม หรือสัตวแพทย์  (เช่น เตียงผ่าตัด เตียงตรวจโรค เตียงโรงพยาบาลที่มีอุปกรณ์กล) และเก้าอี้ ที่คล้ายกันที่มีกลไกสำหรับหมุน เอนและเลื่อนขึ้นลงได้ รวมถึงส่วนประกอบของของดังกล่าวข้างต้น</t>
  </si>
  <si>
    <t>แว่นตา เลนส์ กรอบและโครงสำหรับแว่นตา และส่วนประกอบของของดังกล่าว</t>
  </si>
  <si>
    <t>คอนแทกเลนส์ เลนส์แว่นตา ที่ทำจากวัสดุทุกชนิด</t>
  </si>
  <si>
    <t xml:space="preserve">แว่นตา แว่นตากันลมกันฝุ่นหรือแว่นตาที่คล้ายกันที่ใช้ปรับสายตา ใช้ป้องกัน หรืออื่นๆ </t>
  </si>
  <si>
    <t>กรอบและโครงสำหรับแว่นตาและแว่นตากันลมกันฝุ่นหรือสำหรับแว่นตาที่คล้ายกัน และส่วนประกอบของของดังกล่าว</t>
  </si>
  <si>
    <t>เครื่องมือและอุปกรณ์อื่นๆ ในทางการแพทย์และศัลยกรรม เช่น แผ่นคลุมผ่าตัด เอ็นเย็บแผล ด้าย และผ้า (จะใช้ห้ามหรือซับเลือดหรือไม่ก็ตาม) ที่ผ่านการฆ่าเชื้อแล้ว เยลปรุงแต่งที่ทำขึ้นเพื่อใช้ทางการแพทย์หรือสัตว์แพทย์ เป็นต้น</t>
  </si>
  <si>
    <t>บริการรับจ้างเหมาที่เป็นส่วนหนึ่งของการผลิตเครื่องมือและอุปกรณ์ในทางการแพทย์</t>
  </si>
  <si>
    <t>มือและอุปกรณ์ในทางทันตกรรม</t>
  </si>
  <si>
    <t>เครื่องมือและอุปกรณ์ในทางทันตกรรม</t>
  </si>
  <si>
    <t>เครื่องกรอฟัน จะรวมอยู่บนฐานเดียวกันกับเครื่องอุปกรณ์ทางทันตกรรมอื่นๆ หรือไม่ก็ตาม อุปกรณ์และเครื่องใช้อื่นๆ ที่ใช้ในทางวิทยาศาสตร์ทันตกรรม</t>
  </si>
  <si>
    <t>ฟันปลอมและอุปกรณ์ติดตั้งเกี่ยวกับฟัน (เดนทัลฟิตติ้ง)</t>
  </si>
  <si>
    <t xml:space="preserve">วัสดุอุดฟันและซีเมนต์ทันตกรรม (ยกเว้นกาวยึดฟันปลอม) </t>
  </si>
  <si>
    <t>ไขที่ใช้ทางทันตกรรมและสิ่งปรุงแต่งทางทันตกรรมซึ่งมีปลาสเตอร์อื่นๆ</t>
  </si>
  <si>
    <t>เก้าอี้ทำฟัน เก้าอี้ตัดผม หรือเก้าอี้ที่คล้ายกันที่มีกลไกสำหรับหมุน เอน เลื่อนขึ้นลงได้ และส่วนประกอบของของดังกล่าว</t>
  </si>
  <si>
    <t>บริการรับจ้างเหมาที่เป็นส่วนหนึ่งของการผลิตเครื่องมือและอุปกรณ์ในทางทันตกรรม</t>
  </si>
  <si>
    <t>ผลิตภัณฑ์อื่นๆ ซึ่งมิได้จัดประเภทไว้ในที่อื่น</t>
  </si>
  <si>
    <t>ไม้กวาดและแปรง</t>
  </si>
  <si>
    <t>ไม้กวาดและแปรง สควีจี (ไม้ถูพื้นที่ทำจากยาง) และม้อปไม้ปัดฝุ่น ที่ทำจากขนสัตว์ปีก และไม้กวาดและแปรงอื่นๆ สำหรับทำความสะอาดในครัวเรือน</t>
  </si>
  <si>
    <t>แปรงสีฟัน แปรงโกนหนวด แปรงหวีผม แปรงขัดเล็บ แปรงปัดขนตา และแปรงอื่นๆ ที่ใช้แต่งตัว แปรงสำหรับจิตรกร พู่กันสำหรับเขียน และแปรงที่คล้ายกันสำหรับใช้กับเครื่องสำอาง</t>
  </si>
  <si>
    <t>แปรงสำหรับทาสี ทาดิสเทมเปอร์ ทาวานิช หรือแปรงที่คล้ายกันรวมถึงแพ็ดและลูกกลิ้งสำหรับทาสี แปรงอื่นๆ ที่เป็นส่วนประกอบของเครื่องจักร เครื่องใช้ หรือยาน ปมและปุยที่จัดเตรียมสำหรับทำ ไม้กวาดหรือแปรง เครื่องกลสำหรับกวาดพื้นโดยใช้แรงคนที่ไม่ขับเคลื่อนด้วยมอเตอร์ แปรงอื่นๆ ซึ่งมิได้จัดประเภทไว้ในที่อื่น</t>
  </si>
  <si>
    <t>บริการรับจ้างเหมาที่เป็นส่วนหนึ่งของการผลิตไม้กวาดและแปรง</t>
  </si>
  <si>
    <t>อุปกรณ์เครื่องเขียน</t>
  </si>
  <si>
    <t>ปากกาลูกลื่น ปากกาและมาร์กเกอร์ที่มีปลายปากที่ทำจากสักหลาดหรือวัตถุพรุนอื่นๆ ดินสอแบบหมุนและแบบกด</t>
  </si>
  <si>
    <t>ปากกาที่ใช้อินเดียนอิงก์ ปากกาหมึกซึม ปากกาสไตโลกราฟ และปากกาอื่นๆ</t>
  </si>
  <si>
    <t>ชุดที่ประกอบปากกาและดินสอแบบหมุนหรือแบบกด ด้ามจับดินสอ ด้ามปากกา และด้ามที่คล้ายกัน ไส้ปากกาลูกลื่นที่ประกอบด้วยปลายปากกาลูกลื่นและหลอดหมึก ปากปากกาและปลายปากกา (นิปพอยต์) รวมถึงส่วนประกอบของของดังกล่าว</t>
  </si>
  <si>
    <t>ดินสอ เครยอน ไส้ดินสอ ดินสอชนวน พาสเทล ถ่านวาดเขียน ชอล์กสำหรับเขียนหรือวาด และชอล์กสำหรับช่างตัดเสื้อ</t>
  </si>
  <si>
    <t>กระดานชนวนที่ใช้ตามโรงเรียน ตราประทับวันที่ ตราผนึกหรือตราประทับเลขที่ และตราที่คล้ายกัน ริบบิ้นเครื่องพิมพ์ดีดหรือริบบิ้นที่คล้ายกัน แท่นประทับตรา</t>
  </si>
  <si>
    <t>บริการรับจ้างเหมาที่เป็นส่วนหนึ่งของการผลิตอุปกรณ์เครื่องเขียน</t>
  </si>
  <si>
    <t>เครื่องอุปกรณ์ด้านความปลอดภัย</t>
  </si>
  <si>
    <t>เครื่องสวมศีรษะเพื่อความปลอดภัย และเครื่องสวมศีรษะอื่นๆ ที่ทำจากยางหรือพลาสติก</t>
  </si>
  <si>
    <t>เครื่องใช้ในการหายใจอื่นๆ และหน้ากากป้องกันไอพิษ (ยกเว้นหน้ากากป้องกันที่ไม่มีส่วนประกอบเชิงกลและไม่มีตัวกรองแบบถอดเปลี่ยนได้)</t>
  </si>
  <si>
    <t>เครื่องอุปกรณ์ด้านความปลอดภัยอื่นๆ</t>
  </si>
  <si>
    <t>บริการรับจ้างเหมาที่เป็นส่วนหนึ่งของการผลิตเครื่องอุปกรณ์ด้านความปลอดภัย</t>
  </si>
  <si>
    <t>ดอกไม้และต้นไม้ประดิษฐ์</t>
  </si>
  <si>
    <t>ดอกไม้ประดิษฐ์ ผลไม้ประดิษฐ์ ต้นไม้ประดิษฐ์ และของที่ทำจากของดังกล่าว เช่น พวงหรีด ตะกร้าดอกไม้ประดิษฐ์ มาลัยดินหอม</t>
  </si>
  <si>
    <t>บริการรับจ้างเหมาที่เป็นส่วนหนึ่งของการผลิตดอกไม้และต้นไม้ประดิษฐ์</t>
  </si>
  <si>
    <t>ร่ม ไม้เท้า กระดุม ซิป และส่วนประกอบของของดังกล่าว</t>
  </si>
  <si>
    <t>ร่มและร่มปักกันแดด ไม้เท้า ไม้เท้าที่เป็นที่นั่ง แส้ และของที่คล้ายกัน และส่วนประกอบของของดังกล่าว</t>
  </si>
  <si>
    <t>กระดุมและกระดุมกดชนิดต่างๆ และส่วนประกอบของของดังกล่าว รวมถึงกระดุมและซิปหรือของที่ใช้รูดปิด</t>
  </si>
  <si>
    <t>หุ่นกระดุมและส่วนประกอบอื่นๆ ของกระดุม กระดุมที่เพียงแต่ขึ้นรูป รวมถึงส่วนประกอบของซิปหรือของที่ใช้รูดปิด</t>
  </si>
  <si>
    <t>วิกและผลิตภัณฑ์จากผมหรือขนของสัตว์ และของที่คล้ายกันที่ทำจากสิ่งทอ</t>
  </si>
  <si>
    <t>ไฟแช็ก กล้องยาเส้น และส่วนประกอบของของดังกล่าว ของที่ทำจากวัสดุที่สันดาปได้ รวมถึงเชื้อเพลิงเหลวหรือเชื้อเพลิงที่เป็นก๊าซเหลว</t>
  </si>
  <si>
    <t>ไฟแช็กและเครื่องขีดไฟอื่นๆ กล้องยาเส้น (รวมถึงหัวกล้อง) และกล้องซิการ์หรือกล้องบุหรี่ รวมถึงส่วนประกอบของของดังกล่าว</t>
  </si>
  <si>
    <t>ส่วนประกอบของไฟแช็ก แอลลอยที่ทำให้เกิดประกายไฟ รวมถึงของที่ทำจากวัตถุที่สันดาปได้</t>
  </si>
  <si>
    <t>เชื้อเพลิงเหลวหรือเชื้อเพลิงที่เป็นก๊าซเหลวบรรจุในภาชนะชนิดใช้บรรจุหรือเติมไฟแช็กหรือเครื่องขีดไฟที่คล้ายกัน ที่มีความจุไม่เกิน 300 ลูกบาศก์เซนติเมตร</t>
  </si>
  <si>
    <t>ของที่ใช้ในงานเทศกาล งานรื่นเริงหรืองานบันเทิงอื่นๆ รวมถึงของที่ใช้ในการแสดงกลและการแสดงชวนหัว</t>
  </si>
  <si>
    <t>ที่ฉีดนํ้าหอม คอต่อ และหัวฉีดของของดังกล่าว</t>
  </si>
  <si>
    <t>อุปกรณ์ เครื่องอุปกรณ์และแบบจำลองที่ออกแบบเพื่อวัตถุประสงค์ในการสาธิต (เช่น ในการศึกษาหรือนิทรรศการ) ซึ่งไม่เหมาะสำหรับใช้ประโยชน์ทางด้านอื่นๆ</t>
  </si>
  <si>
    <t>เทียนไข เทเพอร์ และสิ่งที่คล้ายกัน</t>
  </si>
  <si>
    <t>ลูกโลก และผลิตภัณฑ์อื่นๆ ซึ่งมิได้จัดประเภทไว้ในที่อื่น</t>
  </si>
  <si>
    <t>บริการสต๊าฟสัตว์</t>
  </si>
  <si>
    <t>บริการรับจ้างเหมาที่เป็นส่วนหนึ่งของการผลิตลูกโลก และผลิตภัณฑ์อื่นๆ ซึ่งมิได้จัดประเภทไว้ในที่อื่น</t>
  </si>
  <si>
    <t>บริการซ่อมและติดตั้งเครื่องจักรและอุปกรณ์</t>
  </si>
  <si>
    <t>บริการซ่อมผลิตภัณฑ์โลหะประดิษฐ์ เครื่องจักร และอุปกรณ์</t>
  </si>
  <si>
    <t>บริการซ่อมผลิตภัณฑ์โลหะประดิษฐ์</t>
  </si>
  <si>
    <t>บริการซ่อมผลิตภัณฑ์ที่มีโครงสร้างเป็นโลหะ</t>
  </si>
  <si>
    <t>บริการซ่อมถังน้ำขนาดใหญ่ ที่เก็บกักน้ำ และภาชนะบรรจุที่ทำจากโลหะ</t>
  </si>
  <si>
    <t>บริการซ่อมเครื่องกำเนิดไอน้ำ (ยกเว้นหม้อน้ำ (boiler) สำหรับการทำความร้อนจากส่วนกลาง)</t>
  </si>
  <si>
    <t>บริการซ่อมอาวุธและกระสุน</t>
  </si>
  <si>
    <t>บริการซ่อมผลิตภัณฑ์โลหะประดิษฐ์อื่นๆ</t>
  </si>
  <si>
    <t>บริการซ่อมเครื่องจักร</t>
  </si>
  <si>
    <t>บริการซ่อมเครื่องจักรที่ใช้งานทั่วไป</t>
  </si>
  <si>
    <t>บริการซ่อมเครื่องยนต์และเครื่องกังหัน (ยกเว้น เครื่องยนต์ที่ใช้กับอากาศยาน ยานยนต์ และจักรยานยนต์)</t>
  </si>
  <si>
    <t>บริการซ่อมเครื่องอุปกรณ์ควบคุมกำลังของไหล เครื่องสูบ คอมเพรสเซอร์ ก๊อก และวาล์วอื่นๆ</t>
  </si>
  <si>
    <t>บริการซ่อมตลับลูกปืน เกียร์ และอุปกรณ์ที่ใช้ขับเคลื่อน</t>
  </si>
  <si>
    <t>บริการซ่อมเตาอบ เตาเผา และเครื่องพ่นหรือเครื่องฉีดเชื้อเพลิงของเตาเผา</t>
  </si>
  <si>
    <t>บริการซ่อมเครื่องอุปกรณ์ที่ใช้สำหรับยกและขนย้าย</t>
  </si>
  <si>
    <t>บริการซ่อมเครื่องจักรและเครื่องใช้สำนักงาน (ยกเว้นคอมพิวเตอร์และอุปกรณ์ต่อพ่วง)</t>
  </si>
  <si>
    <t>บริการซ่อมแครื่องมือที่ใช้งานด้วยมือชนิดใช้กำลังขับเคลื่อน</t>
  </si>
  <si>
    <t>บริการซ่อมเครื่องทำความเย็น</t>
  </si>
  <si>
    <t>บริการซ่อมเครื่องจักรอื่นๆ ที่ใช้งานทั่วไป</t>
  </si>
  <si>
    <t>บริการซ่อมเครื่องจักรที่ใช้งานเฉพาะอย่าง</t>
  </si>
  <si>
    <t>บริการซ่อมเครื่องจักรที่ใช้ในการเกษตรและการป่าไม้</t>
  </si>
  <si>
    <t>บริการซ่อมเครื่องจักรที่ใช้ในการขึ้นรูปโลหะและเครื่องมือกล</t>
  </si>
  <si>
    <t>บริการซ่อมเครื่องจักรที่ใช้ในงานโลหะกรรม</t>
  </si>
  <si>
    <t>บริการซ่อมเครื่องจักรที่ใช้ในการทำเหมืองแร่ เหมืองหิน และการก่อสร้าง</t>
  </si>
  <si>
    <t>บริการซ่อมเครื่องจักรที่ใช้ในการผลิตอาหาร เครื่องดื่ม และยาสูบ</t>
  </si>
  <si>
    <t>บริการซ่อมเครื่องจักรที่ใช้ในการผลิตสิ่งทอ เสื้อผ้า เครื่องแต่งกายและเครื่องหนัง</t>
  </si>
  <si>
    <t>บริการซ่อมเครื่องจักรที่ใช้ในการผลิตกระดาษและกระดาษแข็ง</t>
  </si>
  <si>
    <t>บริการซ่อมเครื่องจักรที่ใช้ในการผลิตพลาสติกและยาง</t>
  </si>
  <si>
    <t>บริการซ่อมเครื่องจักรอื่นๆ ที่ใช้งานเฉพาะอย่าง</t>
  </si>
  <si>
    <t xml:space="preserve">บริการซ่อมอุปกรณ์อิเล็กทรอนิกส์และอุปกรณ์ที่ใช้ในทางทัศนศาสตร์ </t>
  </si>
  <si>
    <t>บริการซ่อมและบำรุงรักษาอุปกรณ์เพื่อการวัด การทดสอบ การนำร่อง และการควบคุม</t>
  </si>
  <si>
    <t>บริการซ่อมและบำรุงรักษาเครื่องฉายรังสี เครื่องไฟฟ้าทางการแพทย์และทางกายภาพบำบัด</t>
  </si>
  <si>
    <t>บริการซ่อมและบำรุงรักษาอุปกรณ์ที่ใช้ในทางทัศนศาสตร์และอุปกรณ์ถ่ายภาพ</t>
  </si>
  <si>
    <t>บริการซ่อมอุปกรณ์ไฟฟ้า</t>
  </si>
  <si>
    <t>บริการซ่อมมอเตอร์ไฟฟ้า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</si>
  <si>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บริการซ่อมหม้อสะสมไฟฟ้าและแบตเตอรี่</t>
  </si>
  <si>
    <t>บริการซ่อมอุปกรณ์ไฟฟ้าอื่นๆ</t>
  </si>
  <si>
    <t>บริการซ่อมอุปกรณ์ขนส่ง (ยกเว้นยานยนต์)</t>
  </si>
  <si>
    <t>บริการซ่อมเรือ</t>
  </si>
  <si>
    <t>บริการซ่อมอากาศยาน</t>
  </si>
  <si>
    <t>บริการซ่อมอุปกรณ์ขนส่งอื่นๆ (ยกเว้นยานยนต์)</t>
  </si>
  <si>
    <t>บริการซ่อมหัวรถจักรและตู้สำหรับขนส่งทางรถไฟและรถราง</t>
  </si>
  <si>
    <t>บริการซ่อมอุปกรณ์ขนส่งอื่นๆ (ยกเว้นยานยนต์) ซึ่งมิได้จัดประเภทไว้ในที่อื่น</t>
  </si>
  <si>
    <t>บริการซ่อมอุปกรณ์อื่นๆ</t>
  </si>
  <si>
    <t>บริการติดตั้งเครื่องจักรและอุปกรณ์ชนิดใช้ในทางอุตสาหกรรม</t>
  </si>
  <si>
    <t>บริการติดตั้งผลิตภัณฑ์โลหะประดิษฐ์ (ยกเว้นเครื่องจักรและอุปกรณ์)</t>
  </si>
  <si>
    <t>บริการติดตั้งเครื่องกำเนิดไอน้ำ (ยกเว้นหม้อน้ำ (boiler) สำหรับการทำความร้อนจากส่วนกลาง) และบริการติดตั้งระบบท่อโลหะในโรงงานอุตสาหกรรม</t>
  </si>
  <si>
    <t>บริการติดตั้งผลิตภัณฑ์โลหะประดิษฐ์อื่นๆ (ยกเว้นเครื่องจักรและอุปกรณ์)</t>
  </si>
  <si>
    <t>บริการติดตั้งเครื่องจักรที่ใช้งานทั่วไป</t>
  </si>
  <si>
    <t>บริการติดตั้งเครื่องจักรและเครื่องใช้สำนักงาน (ยกเว้นคอมพิวเตอร์และอุปกรณ์ต่อพ่วง)</t>
  </si>
  <si>
    <t xml:space="preserve">บริการติดตั้งเครื่องจักรอื่นๆ ที่ใช้งานทั่วไป </t>
  </si>
  <si>
    <t>บริการติดตั้งเครื่องจักรที่ใช้งานเฉพาะอย่าง</t>
  </si>
  <si>
    <t>บริการติดตั้งเครื่องจักรที่ใช้ในการเกษตรและการป่าไม้</t>
  </si>
  <si>
    <t>บริการติดตั้งเครื่องจักรที่ใช้ในการขึ้นรูปโลหะ</t>
  </si>
  <si>
    <t>บริการติดตั้งเครื่องจักรที่ใช้ในงานโลหะกรรม</t>
  </si>
  <si>
    <t>บริการติดตั้งเครื่องจักรที่ใช้ในการทำเหมืองแร่และเหมืองหิน</t>
  </si>
  <si>
    <t>บริการติดตั้งเครื่องจักรที่ใช้ในการผลิตอาหาร เครื่องดื่ม และยาสูบ</t>
  </si>
  <si>
    <t>บริการติดตั้งเครื่องจักรที่ใช้ในการผลิตสิ่งทอ เสื้อผ้า เครื่องแต่งกาย และเครื่องหนัง</t>
  </si>
  <si>
    <t>บริการติดตั้งเครื่องจักรที่ใช้ในการผลิตกระดาษและกระดาษแข็ง</t>
  </si>
  <si>
    <t>บริการติดตั้งเครื่องจักรที่ใช้ในการผลิตพลาสติกและยาง</t>
  </si>
  <si>
    <t>บริการติดตั้งเครื่องจักรอื่นๆ ที่ใช้งานเฉพาะอย่าง</t>
  </si>
  <si>
    <t>บริการติดตั้งอุปกรณ์อิเล็กทรอนิกส์และอุปกรณ์ที่ใช้ในทางทัศนศาสตร์</t>
  </si>
  <si>
    <t>บริการติดตั้งเครื่องจักรที่ใช้ในทางการแพทย์ อุปกรณ์ที่มีความเที่ยงตรงแม่นยำ และอุปกรณ์ที่ใช้ในทางทัศนศาสตร์</t>
  </si>
  <si>
    <t>บริการติดตั้งอุปกรณ์อิเล็กทรอนิกส์ชนิดใช้ในทางอุตสาหกรรม</t>
  </si>
  <si>
    <t>บริการติดตั้งเครื่องจักรและเครื่องอุปกรณ์ไฟฟ้า</t>
  </si>
  <si>
    <t>บริการติดตั้งเครื่องอุปกรณ์ที่ใช้ในการควบคุมกระบวนการผลิตชนิดใช้ในทางอุตสาหกรรม</t>
  </si>
  <si>
    <t>บริการติดตั้งเครื่องจักรและอุปกรณ์อื่นๆ ชนิดใช้ในทางอุตสาหกรรม ซึ่งมิได้จัดประเภทไว้ในที่อื่น</t>
  </si>
  <si>
    <t>D</t>
  </si>
  <si>
    <t>ไฟฟ้า ก๊าซ ไอน้ำ และระบบปรับอากาศ</t>
  </si>
  <si>
    <t>บริการผลิต ส่ง และจ่ายไฟฟ้า</t>
  </si>
  <si>
    <t>บริการผลิตและส่งไฟฟ้า</t>
  </si>
  <si>
    <t>ไฟฟ้า</t>
  </si>
  <si>
    <t>บริการส่งไฟฟ้า</t>
  </si>
  <si>
    <t>บริการจ่ายไฟฟ้า</t>
  </si>
  <si>
    <t>บริการขายไฟฟ้า</t>
  </si>
  <si>
    <t>ก๊าซที่ได้จากการผลิต บริการจ่ายเชื้อเพลิงก๊าซผ่านท่อหลัก</t>
  </si>
  <si>
    <t>ก๊าซที่ได้จากการผลิต</t>
  </si>
  <si>
    <t>ก๊าซจากถ่านหิน วอเตอร์ก๊าซ โพรดิวเซอร์ก๊าซ และก๊าซที่คล้ายกัน และก๊าซอื่นๆ (ยกเว้นก๊าซปิโตรเลียม)</t>
  </si>
  <si>
    <t>บริการจ่ายเชื้อเพลิงชนิดก๊าซผ่านท่อหลัก</t>
  </si>
  <si>
    <t>บริการจ่ายเชื้อเพลิงก๊าซผ่านท่อหลัก</t>
  </si>
  <si>
    <t>บริการขายก๊าซผ่านท่อหลัก</t>
  </si>
  <si>
    <t>บริการจัดหาไอน้ำและระบบปรับอากาศ</t>
  </si>
  <si>
    <t xml:space="preserve">น้ำแข็งชนิดไม่ใช้เพื่อการบริโภค </t>
  </si>
  <si>
    <t>น้ำแข็งชนิดไม่ใช้เพื่อการบริโภค</t>
  </si>
  <si>
    <t>บริการจัดหาไอน้ำและระบบปรับอากาศ (ยกเว้นน้ำแข็งชนิดไม่ใช้เพื่อการบริโภค)</t>
  </si>
  <si>
    <t>ไอน้ำและน้ำร้อน</t>
  </si>
  <si>
    <t>บริการจัดหาไอน้ำและน้ำร้อนผ่านท่อหลัก</t>
  </si>
  <si>
    <t>บริการจัดหาความเย็นและน้ำเย็นเพื่อวัตถุประสงค์ในการทำความเย็นผ่านท่อหลัก</t>
  </si>
  <si>
    <t>E</t>
  </si>
  <si>
    <t>บริการจัดหาน้ำ จัดการ และบำบัดน้ำเสีย ของเสีย และสิ่งปฏิกูล</t>
  </si>
  <si>
    <t>น้ำธรรมชาติ บริการบำบัด จ่าย และขายน้ำ</t>
  </si>
  <si>
    <t>น้ำธรรมชาติ</t>
  </si>
  <si>
    <t>บริการบำบัด จ่าย และขายน้ำสำหรับใช้ในครัวเรือนและอุตสาหกรรมผ่านระบบประปา</t>
  </si>
  <si>
    <t>บริการบำบัดและจ่ายน้ำสำหรับใช้ในครัวเรือนและอุตสาหกรรมผ่านระบบประปา</t>
  </si>
  <si>
    <t>บริการขายน้ำสำหรับใช้ในครัวเรือนและอุตสาหกรรมผ่านระบบประปา</t>
  </si>
  <si>
    <t>บริการบำบัด จ่าย และขายน้ำสำหรับใช้ในการเกษตร</t>
  </si>
  <si>
    <t>บริการบำบัดและจ่ายน้ำสำหรับใช้ในการเกษตร</t>
  </si>
  <si>
    <t>บริการขายน้ำสำหรับใช้ในการเกษตร</t>
  </si>
  <si>
    <t>บริการบำบัด จ่าย และขายน้ำอื่นๆ</t>
  </si>
  <si>
    <t>บริการบำบัดและจ่ายน้ำโดยวิธีอื่นๆ</t>
  </si>
  <si>
    <t>บริการขายน้ำโดยรถบรรทุกหรือโดยวิธีอื่นๆ</t>
  </si>
  <si>
    <t>บริการจัดการน้ำเสีย</t>
  </si>
  <si>
    <t xml:space="preserve">บริการจัดการน้ำเสีย </t>
  </si>
  <si>
    <t>บริการระบายและบำบัดน้ำเสีย</t>
  </si>
  <si>
    <t>บริการบำบัดบ่อพักของเสียและบ่อเกรอะ</t>
  </si>
  <si>
    <t>ตะกอนจากน้ำเสีย</t>
  </si>
  <si>
    <t>บริการเก็บรวบรวมของเสีย บริการบำบัดและการกำจัดของเสีย รวมถึงบริการนำของเสียกลับมาใช้ใหม่</t>
  </si>
  <si>
    <t>บริการเก็บรวบรวมของเสีย</t>
  </si>
  <si>
    <t>บริการเก็บรวบรวมของเสียที่ไม่เป็นอันตราย</t>
  </si>
  <si>
    <t>บริการเก็บรวบรวมของเสียที่ไม่เป็นอันตรายชนิดสามารถนำกลับมาใช้</t>
  </si>
  <si>
    <t>บริการเก็บรวบรวมของเสียที่ไม่เป็นอันตรายชนิดสามารถนำกลับมาใช้ใหม่ได้ในเขตชุมชนหรือที่พักอาศัย</t>
  </si>
  <si>
    <t>บริการเก็บรวบรวมของเสียที่ไม่เป็นอันตรายชนิดสามารถนำกลับมาใช้ใหม่ได้ในสถานที่อื่นๆ</t>
  </si>
  <si>
    <t>บริการเก็บรวบรวมของเสียที่ไม่เป็นอันตรายชนิดไม่สามารถนำกลับมา</t>
  </si>
  <si>
    <t>บริการเก็บรวบรวมของเสียที่ไม่เป็นอันตรายชนิดไม่สามารถนำกลับมาใช้ใหม่ได้ในเขตชุมชนหรือที่พักอาศัย</t>
  </si>
  <si>
    <t>บริการเก็บรวบรวมของเสียที่ไม่เป็นอันตรายชนิดไม่สามารถนำกลับมาใช้ใหม่ได้ในสถานที่อื่นๆ</t>
  </si>
  <si>
    <t>ของเสียที่ไม่เป็นอันตรายชนิดไม่สามารถนำกลับมาใช้ใหม่ได้</t>
  </si>
  <si>
    <t>ของเสียที่ไม่เป็นอันตรายชนิดไม่สามารถนำกลับมาใช้ใหม่ได้ที่เก็บรวบรวมจากเขตชุมชนหรือที่พักอาศัย</t>
  </si>
  <si>
    <t>ของเสียที่ไม่เป็นอันตรายชนิดไม่สามารถนำกลับมาใช้ใหม่ได้ที่เก็บรวบรวมจากสถานที่อื่นๆ</t>
  </si>
  <si>
    <t>เศษซากที่ต้องการนำไปทำลาย</t>
  </si>
  <si>
    <t>เศษซากเรือหรือสิ่งก่อสร้างลอยน้ำอับปางหรือจมลงที่ต้องการนำไปแยกชิ้นส่วน</t>
  </si>
  <si>
    <t>เศษซากอื่นๆ ที่ต้องการนำไปทำลาย</t>
  </si>
  <si>
    <t>ของเสียอื่นๆ ที่ไม่เป็นอันตรายชนิดสามารถนำกลับมาใช้ใหม่ได้</t>
  </si>
  <si>
    <t>ของเสียประเภทแก้ว</t>
  </si>
  <si>
    <t>ของเสียประเภทกระดาษและกระดาษแข็ง</t>
  </si>
  <si>
    <t>ของเสียประเภทยาง</t>
  </si>
  <si>
    <t>ของเสียประเภทพลาสติก</t>
  </si>
  <si>
    <t>ของเสียประเภทสิ่งทอ</t>
  </si>
  <si>
    <t>ของเสียประเภทหนัง</t>
  </si>
  <si>
    <t>ของเสียประเภทโลหะที่ไม่เป็นอันตราย</t>
  </si>
  <si>
    <t xml:space="preserve">ของเสียอื่นๆ ที่ไม่เป็นอันตรายชนิดสามารถนำกลับมาใช้ใหม่ได้ ซึ่งมิได้จัดประเภทไว้ในที่อื่น                                                                                                                                                                                                                        </t>
  </si>
  <si>
    <t>บริการสิ่งอำนวยความสะดวกในการขนถ่ายของเสียที่ไม่เป็นอันตราย</t>
  </si>
  <si>
    <t>บริการสิ่งอำนวยความสะดวกในการขนถ่ายของเสียที่ไม่เป็นอันตรายชนิดสามารถนำกลับมาใช้ใหม่ได้</t>
  </si>
  <si>
    <t>บริการสิ่งอำนวยความสะดวกในการขนถ่ายของเสียที่ไม่เป็นอันตรายชนิดไม่สามารถนำกลับมาใช้ใหม่ได้</t>
  </si>
  <si>
    <t>บริการเก็บรวบรวมของเสียที่เป็นอันตราย</t>
  </si>
  <si>
    <t xml:space="preserve">บริการเก็บรวบรวมของเสียทางการแพทย์ที่เป็นอันตรายและของเสียชีวภาพอันตรายอื่นๆ </t>
  </si>
  <si>
    <t>บริการเก็บรวบรวมของเสียทางอุตสาหกรรมที่เป็นอันตราย</t>
  </si>
  <si>
    <t>บริการเก็บรวบรวมของเสียที่เป็นอันตรายในเขตชุมชนหรือที่พักอาศัย</t>
  </si>
  <si>
    <t>ของเสียที่เป็นอันตราย</t>
  </si>
  <si>
    <t>แท่งเชื้อเพลิง (คาร์ทริดจ์) ที่ใช้แล้ว (แผ่รังสีแล้ว) ของเครื่องปฏิกรณ์นิวเคลียร์</t>
  </si>
  <si>
    <t>ของเสียทางเภสัชกรรม</t>
  </si>
  <si>
    <t>ของเสียทางการแพทย์อื่นๆ</t>
  </si>
  <si>
    <t>ของเสียทางเคมีที่เป็นอันตราย เช่น ของเสียที่เป็นของเหลวกัดล้างโลหะ น้ำมันไฮดรอลิก น้ำมันเบรก และของเหลวกันการเยือกแข็ง และของเสียอื่นๆ จากอุตสาหกรรมเคมีหรืออุตสาหกรรมที่เกี่ยวข้อง</t>
  </si>
  <si>
    <t>ของเสียประเภทน้ำมัน</t>
  </si>
  <si>
    <t>ของเสียประเภทโลหะที่เป็นอันตราย</t>
  </si>
  <si>
    <t>เศษและของที่ใช้ไม่ได้ของเซลปฐมภูมิ แบตเตอรี่ปฐมภูมิ และหม้อสะสมไฟฟ้า</t>
  </si>
  <si>
    <t>ของเสียอื่นๆ ที่เป็นอันตราย</t>
  </si>
  <si>
    <t>บริการสิ่งอำนวยความสะดวกในการขนถ่ายของเสียที่เป็นอันตราย</t>
  </si>
  <si>
    <t>บริการบำบัดและกำจัดของเสีย</t>
  </si>
  <si>
    <t>บริการบำบัดและกำจัดของเสียที่ไม่เป็นอันตราย</t>
  </si>
  <si>
    <t>บริการบำบัดและกำจัดของเสียที่ไม่เป็นอันตรายโดยการฝังกลบอย่างถูกสุขอนามัย</t>
  </si>
  <si>
    <t>บริการบำบัดและกำจัดของเสียที่ไม่เป็นอันตรายโดยการเผาด้วยเตาเผาขยะ</t>
  </si>
  <si>
    <t>ขี้เถ้าและกากที่ได้จากเตาเผาขยะ</t>
  </si>
  <si>
    <t>บริการบำบัดและกำจัดของเสียที่ไม่เป็นอันตรายโดยวิธีชีวภาพ</t>
  </si>
  <si>
    <t xml:space="preserve">ของเสียที่เป็นตัวทำละลายอินทรีย์ ปุ๋ยจากสัตว์หรือปุ๋ยจากพืช เชื้อเพลิงทดแทนหรือก๊าซชีวภาพ </t>
  </si>
  <si>
    <t>ของเสียที่เป็นตัวทำละลายอินทรีย์</t>
  </si>
  <si>
    <t xml:space="preserve">ปุ๋ยจากสัตว์หรือปุ๋ยจากพืช </t>
  </si>
  <si>
    <t xml:space="preserve">เชื้อเพลิงทดแทนหรือก๊าซชีวภาพ </t>
  </si>
  <si>
    <t>บริการบำบัดและกำจัดของเสียที่ไม่เป็นอันตรายโดยวิธีอื่นๆ</t>
  </si>
  <si>
    <t>บริการบำบัดและกำจัดของเสียที่ไม่เป็นอันตรายโดยวิธีฝังกลบ (ยกเว้นการฝังกลบอย่างถูกสุขอนามัย)</t>
  </si>
  <si>
    <t>บริการบำบัดและกำจัดของเสียที่ไม่เป็นอัตรายโดยวิธีอื่นๆ ซึ่งมิได้จัดประเภทไว้ในที่อื่น เช่น การนำไปเทกองกลางแจ้ง การเผากลางแจ้ง ทิ้งไว้กลางแจ้ง ทิ้งทะเล เป็นต้น</t>
  </si>
  <si>
    <t>บริการบำบัดและกำจัดของเสียที่เป็นอันตราย</t>
  </si>
  <si>
    <t>บริการบำบัดและกำจัดกากสารกัมมันตรังสี</t>
  </si>
  <si>
    <t>บริการบำบัดและกำจัดสารกัมมันตรังสี</t>
  </si>
  <si>
    <t>บริการบำบัดและกำจัดของเสียที่เป็นอันตราย (ยกเว้นกากสารกัมมันตรังสี)</t>
  </si>
  <si>
    <t>บริการบำบัดและกำจัดของเสียที่เป็นอันตราย (ยกเว้นสารกัมมันตรังสี)</t>
  </si>
  <si>
    <t>บริการนำวัสดุที่ใช้แล้วกลับมาใช้ใหม่</t>
  </si>
  <si>
    <t>บริการแยกชิ้นส่วนเศษซากสิ่งของ</t>
  </si>
  <si>
    <t>บริการแยกชิ้นส่วนซากเรือและสิ่งก่อสร้างลอยน้ำ เช่น เรืออับปาง</t>
  </si>
  <si>
    <t xml:space="preserve">บริการแยกชิ้นส่วนเศษซากสิ่งของอื่นๆ </t>
  </si>
  <si>
    <t>บริการนำวัสดุใช้แล้วที่คัดแยกแล้วกลับมาใช้ใหม่</t>
  </si>
  <si>
    <t>บริการนำโลหะใช้แล้วที่คัดแยกแล้วกลับมาใช้ใหม่</t>
  </si>
  <si>
    <t>บริการนำอโลหะใช้แล้วที่คัดแยกแล้วกลับมาใช้ใหม่</t>
  </si>
  <si>
    <t>วัตถุดิบทุติยภูมิประเภทโลหะ</t>
  </si>
  <si>
    <t>วัตถุดิบทุติยภูมิประเภทโลหะมีค่า</t>
  </si>
  <si>
    <t>วัตถุดิบทุติยภูมิประเภทโลหะที่เป็นเหล็ก</t>
  </si>
  <si>
    <t>วัตถุดิบทุติยภูมิประเภททองแดง</t>
  </si>
  <si>
    <t>วัตถุดิบทุติยภูมิประเภทนิกเกิล</t>
  </si>
  <si>
    <t>วัตถุดิบทุติยภูมิประเภทอะลูมิเนียม</t>
  </si>
  <si>
    <t>วัตถุดิบทุติยภูมิประเภทโลหะอื่นๆ</t>
  </si>
  <si>
    <t>วัตถุดิบทุติยภูมิประเภทอโลหะ</t>
  </si>
  <si>
    <t>วัตถุดิบทุติยภูมิประเภทแก้ว</t>
  </si>
  <si>
    <t>วัตถุดิบทุติยภูมิประเภทกระดาษและกระดาษแข็ง</t>
  </si>
  <si>
    <t>วัตถุดิบทุติยภูมิประเภทพลาสติก</t>
  </si>
  <si>
    <t>วัตถุดิบทุติยภูมิประเภทยาง</t>
  </si>
  <si>
    <t>วัตถุดิบทุติยภูมิประเภทสิ่งทอ</t>
  </si>
  <si>
    <t xml:space="preserve">วัตถุดิบทุติยภูมิประเภทอโลหะอื่นๆ </t>
  </si>
  <si>
    <t>บริการบำบัดและบริการจัดการของเสียอื่นๆ</t>
  </si>
  <si>
    <t>บริการบำบัดและกำจัดสิ่งปนเปื้อน</t>
  </si>
  <si>
    <t>บริการบำบัดและกำจัดสิ่งปนเปื้อนในดินและใต้ดิน</t>
  </si>
  <si>
    <t>บริการบำบัดและกำจัดสิ่งปนเปื้อนบนผิวน้ำ</t>
  </si>
  <si>
    <t>บริการบำบัดและกำจัดสิ่งปนเปื้อนในอากาศ</t>
  </si>
  <si>
    <t>บริการกำจัดสิ่งปนเปื้อนในอาคาร</t>
  </si>
  <si>
    <t>บริการบำบัดและบริการควบคุมมลภาวะเฉพาะด้านอื่นๆ</t>
  </si>
  <si>
    <t xml:space="preserve">บริการกำจัด ควบคุม และติดตามสิ่งปนเปื้อน และบริการบำบัดตามสถานที่อื่นๆ </t>
  </si>
  <si>
    <t xml:space="preserve">บริการบำบัดอื่นๆ </t>
  </si>
  <si>
    <t>บริการควบคุมมลภาวะเฉพาะด้านอื่นๆ</t>
  </si>
  <si>
    <t>F</t>
  </si>
  <si>
    <t>งานก่อสร้างและบริการก่อสร้างงานดังกล่าว</t>
  </si>
  <si>
    <t>อาคารและบริการก่อสร้างงานดังกล่าว</t>
  </si>
  <si>
    <t>อาคารที่อยู่อาศัยและบริการก่อสร้างงานดังกล่าว</t>
  </si>
  <si>
    <t>อาคารที่อยู่อาศัย</t>
  </si>
  <si>
    <t>บริการก่อสร้างอาคารที่อยู่อาศัย (ทั้งสร้างใหม่ ต่อเติม ซ่อมแซม และปรับปรุงใหม่)</t>
  </si>
  <si>
    <t>อาคารที่ไม่ใช่ที่อยู่อาศัยและบริการก่อสร้างงานดังกล่าว</t>
  </si>
  <si>
    <t>อาคารที่ไม่ใช่ที่อยู่อาศัย</t>
  </si>
  <si>
    <t>บริการก่อสร้างอาคารที่ไม่ใช่ที่อยู่อาศัย (ทั้งสร้างใหม่ ต่อเติม ซ่อมแซม และปรับปรุงใหม่)</t>
  </si>
  <si>
    <t>งานวิศวกรรมโยธาและบริการก่อสร้างงานดังกล่าว</t>
  </si>
  <si>
    <t>ถนนและทางรถไฟและบริการก่อสร้างงานดังกล่าว</t>
  </si>
  <si>
    <t>ถนน สะพาน และอุโมงค์ และบริการก่อสร้างงานดังกล่าว</t>
  </si>
  <si>
    <t>ถนน ทางหลวง ทางเดินรถ ทางวิ่งในสนามบิน และทางเดินเท้าอื่นๆ</t>
  </si>
  <si>
    <t xml:space="preserve">บริการก่อสร้างถนน ทางหลวง ทางเดินรถ ทางวิ่งในสนามบิน และทางเดินเท้าอื่นๆ  </t>
  </si>
  <si>
    <t>สะพานและอุโมงค์</t>
  </si>
  <si>
    <t>บริการก่อสร้างสะพานและอุโมงค์</t>
  </si>
  <si>
    <t>ทางรถไฟและรถใต้ดิน และบริการก่อสร้างงานดังกล่าว</t>
  </si>
  <si>
    <t>ทางรถไฟและรถใต้ดิน</t>
  </si>
  <si>
    <t>บริการก่อสร้างทางรถไฟและรถใต้ดิน</t>
  </si>
  <si>
    <t>งานสาธารณูปโภคและบริการก่อสร้างงานดังกล่าว</t>
  </si>
  <si>
    <t>งานสาธารณูปโภคเกี่ยวกับน้ำ น้ำมัน และก๊าซ และบริการก่อสร้างงานดังกล่าว</t>
  </si>
  <si>
    <t>งานสาธารณูปโภคเกี่ยวกับน้ำ น้ำมัน และก๊าซ</t>
  </si>
  <si>
    <t>ท่อส่งของเหลวขนาดใหญ่ที่มีระยะทางยาว เช่น ท่อส่งน้ำมันปิโตรเลียม ท่อส่งก๊าซ และท่อส่งน้ำขนาดใหญ่ที่มีระยะทางยาว เป็นต้น</t>
  </si>
  <si>
    <t>ท่อส่งของเหลวขนาดใหญ่บริเวณเมืองหรือท้องถิ่น เช่น ท่อส่งน้ำขนาดใหญ่ในเมือง ระบบระบายน้ำและสิ่งปฏิกูลในเมือง เป็นต้น</t>
  </si>
  <si>
    <t>ระบบชลประทาน (คลอง) ท่อส่งน้ำ โรงงานบำบัดน้ำเสีย โรงงานกำจัดสิ่งปฏิกูล และสถานีสูบน้ำ</t>
  </si>
  <si>
    <t>บริการก่อสร้างสาธารณูปโภคเกี่ยวกับน้ำ น้ำมัน และก๊าซ  รวมถึงบริการขุดเจาะบ่อและติดตั้งระบบบ่อเกรอะ</t>
  </si>
  <si>
    <t>บริการก่อสร้างท่อส่งของเหลวขนาดใหญ่ที่มีระยะทางยาว</t>
  </si>
  <si>
    <t>บริการก่อสร้างท่อส่งของเหลวขนาดใหญ่บริเวณเมืองหรือท้องถิ่น</t>
  </si>
  <si>
    <t>บริการก่อสร้างระบบชลประทาน (คลอง) ท่อส่งน้ำ โรงงานบำบัดน้ำเสีย โรงงานกำจัดสิ่งปฏิกูล และสถานีสูบน้ำ</t>
  </si>
  <si>
    <t>บริการขุดเจาะบ่อ บริการติดตั้งระบบสูบน้ำและระบบบ่อเกรอะ</t>
  </si>
  <si>
    <t>งานสาธารณูปโภคเกี่ยวกับไฟฟ้าและการสื่อสาร และบริการก่อสร้างงานดังกล่าว</t>
  </si>
  <si>
    <t>งานสาธารณูปโภคเกี่ยวกับไฟฟ้าและการสื่อสาร</t>
  </si>
  <si>
    <t>สายไฟ สายเคเบิล และสายสื่อสารต่างๆ ที่มีระยะทางไกล</t>
  </si>
  <si>
    <t>สายไฟ สายเคเบิล และสายสื่อสารต่างๆ บริเวณเมืองหรือท้องถิ่น</t>
  </si>
  <si>
    <t>โรงไฟฟ้า</t>
  </si>
  <si>
    <t>บริการก่อสร้างงานสาธารณูปโภคเกี่ยวกับไฟฟ้าและการสื่อสาร</t>
  </si>
  <si>
    <t>บริการก่อสร้างสายไฟ สายเคเบิล และสายสื่อสารต่างๆ ที่มีระยะทางไกล</t>
  </si>
  <si>
    <t>บริการก่อสร้างสายไฟ สายเคเบิล และสายสื่อสารต่างๆ บริเวณเมืองหรือท้องถิ่น</t>
  </si>
  <si>
    <t>บริการก่อสร้างโรงไฟฟ้า</t>
  </si>
  <si>
    <t>งานวิศวกรรมโยธาอื่นๆ และบริการก่อสร้างงานดังกล่าว</t>
  </si>
  <si>
    <t>งานวิศวกรรมโยธาที่เกี่ยวข้องกับน้ำและบริการก่อสร้างงานดังกล่าว</t>
  </si>
  <si>
    <t>งานก่อสร้างวิศวกรรมโยธาที่เกี่ยวข้องกับน้ำ</t>
  </si>
  <si>
    <t>บริการก่อสร้างงานวิศวกรรมโยธาที่เกี่ยวข้องกับน้ำ</t>
  </si>
  <si>
    <t>งานวิศวกรรมโยธาอื่นๆ ซึ่งมิได้จัดประเภทไว้ในที่อื่น และบริการก่อสร้างงานดังกล่าว</t>
  </si>
  <si>
    <t>งานวิศวกรรมโยธาอื่นๆ</t>
  </si>
  <si>
    <t xml:space="preserve">งานก่อสร้างเหมืองแร่และสิ่งอำนวยความสะดวกด้านการผลิต </t>
  </si>
  <si>
    <t>งานก่อสร้างด้านการกีฬาและนันทนาการ</t>
  </si>
  <si>
    <t>งานวิศวกรรมโยธาอื่นๆ ซึ่งมิได้จัดประเภทไว้ในที่อื่น</t>
  </si>
  <si>
    <t>บริการก่อสร้างงานวิศวกรรมโยธาอื่นๆ</t>
  </si>
  <si>
    <t>บริการก่อสร้างเหมืองแร่และสิ่งอำนวยความสะดวกด้านการผลิต</t>
  </si>
  <si>
    <t>บริการก่อสร้างด้านการกีฬาและนันทนาการ</t>
  </si>
  <si>
    <t>บริการก่อสร้างงานวิศวกรรมโยธาอื่นๆ ซึ่งมิได้จัดประเภทไว้ในที่อื่น</t>
  </si>
  <si>
    <t>บริการก่อสร้างเฉพาะทาง</t>
  </si>
  <si>
    <t>บริการรื้อถอนและเตรียมสถานที่ก่อสร้าง</t>
  </si>
  <si>
    <t>บริการรื้อถอน</t>
  </si>
  <si>
    <t>บริการเตรียมสถานที่ก่อสร้าง</t>
  </si>
  <si>
    <t>บริการขนย้ายหน้าดิน</t>
  </si>
  <si>
    <t>บริการเจาะทดสอบและเก็บตัวอย่างจากกระบอกเจาะเพื่อใช้วิเคราะห์ในการก่อสร้าง ธรณีฟิสิกส์ ธรณีวิทยา หรือวัตถุประสงค์ที่คล้ายกัน</t>
  </si>
  <si>
    <t>บริการติดตั้งไฟฟ้า ระบบท่อ และสิ่งก่อสร้างอื่นๆ</t>
  </si>
  <si>
    <t>บริการติดตั้งระบบไฟฟ้า</t>
  </si>
  <si>
    <t>บริการติดตั้งระบบประปา ระบบทำความร้อน และระบบปรับอากาศ</t>
  </si>
  <si>
    <t>บริการติดตั้งระบบประปาและระบายน้ำ</t>
  </si>
  <si>
    <t>บริการติดตั้งระบบทำความร้อนและระบบจ่ายก๊าซ</t>
  </si>
  <si>
    <t>บริการติดตั้งระบบทำความร้อน</t>
  </si>
  <si>
    <t>บริการติดตั้งระบบจ่ายก๊าซ</t>
  </si>
  <si>
    <t>บริการติดตั้งระบบปรับอากาศและระบายอากาศ</t>
  </si>
  <si>
    <t>บริการติดตั้งสิ่งก่อสร้างอื่นๆ</t>
  </si>
  <si>
    <t>บริการติดตั้งฉนวน</t>
  </si>
  <si>
    <t>บริการติดตั้งสิ่งก่อสร้างอื่นๆ ซึ่งมิได้จัดประเภทไว้ในที่อื่น</t>
  </si>
  <si>
    <t>บริการติดตั้งรั้วและสิ่งปิดกั้นภายนอกอาคารที่คล้ายกัน</t>
  </si>
  <si>
    <t>บริการตกแต่งอาคารให้เสร็จสมบูรณ์</t>
  </si>
  <si>
    <t>บริการติดตั้งส่วนประกอบอาคารและอุปกรณ์ตกแต่งภายใน</t>
  </si>
  <si>
    <t>บริการติดตั้งงานกระจก</t>
  </si>
  <si>
    <t xml:space="preserve">บริการติดตั้งส่วนประกอบอาคารและอุปกรณ์ตกแต่งภายในอื่นๆ </t>
  </si>
  <si>
    <t>บริการปูพื้นและผนัง</t>
  </si>
  <si>
    <t>บริการปูกระเบื้องพื้นและผนัง</t>
  </si>
  <si>
    <t>บริการปูพื้นและผนังอื่นๆ</t>
  </si>
  <si>
    <t>บริการทำพื้นหินขัด หินอ่อน หินแกรนิต และหินชนวน</t>
  </si>
  <si>
    <t>บริการปูพื้นและผนังอื่นๆ ซึ่งมิได้จัดประเภทไว้ในที่อื่น</t>
  </si>
  <si>
    <t>บริการทาสี</t>
  </si>
  <si>
    <t>บริการตกแต่งอาคารให้เสร็จสมบูรณ์อื่นๆ</t>
  </si>
  <si>
    <t>บริการฉาบปูน</t>
  </si>
  <si>
    <t>บริการตกแต่งอาคารให้เสร็จสมบูรณ์อื่นๆ ซึ่งมิได้จัดประเภทไว้ในที่อื่น</t>
  </si>
  <si>
    <t xml:space="preserve">บริการติดตั้งงานโลหะสำหรับประดับตกแต่ง </t>
  </si>
  <si>
    <t>บริการก่อสร้างเฉพาะด้านอื่นๆ</t>
  </si>
  <si>
    <t>บริการก่อสร้างฐานราก รวมถึงบริการตอกเสาเข็ม</t>
  </si>
  <si>
    <t>บริการก่อสร้างฐาน รวมถึงบริการตอกเสาเข็ม</t>
  </si>
  <si>
    <t>บริการก่อสร้างเฉพาะด้านอื่นๆ ซึ่งมิได้จัดประเภทไว้ในที่อื่น</t>
  </si>
  <si>
    <t>บริการมุงหลังคา</t>
  </si>
  <si>
    <t>บริการทำโครงหลังคา</t>
  </si>
  <si>
    <t>บริการมุงหลังคาอื่นๆ</t>
  </si>
  <si>
    <t>บริการงานกันชื้นและกันซึม</t>
  </si>
  <si>
    <t>บริการงานนั่งร้าน</t>
  </si>
  <si>
    <t>บริการงานคอนกรีต</t>
  </si>
  <si>
    <t>บริการประกอบโครงสร้างเหล็ก</t>
  </si>
  <si>
    <t>บริการก่ออิฐและก่อหิน</t>
  </si>
  <si>
    <t>บริการประกอบชิ้นส่วนงานก่อสร้างสำเร็จรูป</t>
  </si>
  <si>
    <t>G</t>
  </si>
  <si>
    <t>บริการขายส่งและขายปลีก บริการซ่อมยานยนต์และจักรยานยนต์</t>
  </si>
  <si>
    <t>บริการขายส่งและการขายปลีก บริการซ่อมยานยนต์และจักรยานยนต์</t>
  </si>
  <si>
    <t>บริการขายยานยนต์</t>
  </si>
  <si>
    <t>บริการขายยานยนต์ใหม่ชนิดรถยนต์นั่งส่วนบุคคล รถกระบะ รถตู้ และรถขนาดเล็กที่คล้ายกัน</t>
  </si>
  <si>
    <t>บริการขายส่งยานยนต์ใหม่ชนิดรถยนต์นั่งส่วนบุคคล รถกระบะ รถตู้ และรถขนาดเล็กที่คล้ายกัน</t>
  </si>
  <si>
    <t>บริการขายส่งยานยนต์ใหม่ชนิดรถยนต์นั่งส่วนบุคคล รถกระบะ รถตู้</t>
  </si>
  <si>
    <t xml:space="preserve">บริการขายส่งยานยนต์ใหม่ขนาดเล็กอื่นๆ ที่คล้ายกัน </t>
  </si>
  <si>
    <t>บริการขายปลีกยานยนต์ใหม่ชนิดรถยนต์นั่งส่วนบุคคล รถกระบะ รถตู้ และรถขนาดเล็กที่คล้ายกันในร้านเฉพาะอย่าง</t>
  </si>
  <si>
    <t>บริการขายปลีกยานยนต์ใหม่ชนิดรถยนต์นั่งส่วนบุคคล รถกระบะ รถตู้ ในร้านเฉพาะอย่าง</t>
  </si>
  <si>
    <t xml:space="preserve">บริการขายปลีกยานยนต์ใหม่ขนาดเล็กอื่นๆ ที่คล้ายกัน ในร้านเฉพาะอย่าง  </t>
  </si>
  <si>
    <t>บริการขายปลีกยานยนต์ใหม่ชนิดรถยนต์นั่งส่วนบุคคล รถกระบะ รถตู้ และรถขนาดเล็กที่คล้ายกันโดยวิธีอื่นๆ</t>
  </si>
  <si>
    <t>บริการขายปลีกยานยนต์ใหม่ชนิดรถยนต์นั่งส่วนบุคคล รถกระบะ รถตู้ และรถขนาดเล็กที่คล้ายกันทางอินเทอร์เน็ต</t>
  </si>
  <si>
    <t>บริการขายปลีกยานยนต์ใหม่ชนิดรถยนต์นั่งส่วนบุคคล รถกระบะ รถตู้ และรถขนาดเล็กที่คล้ายกันโดยวิธีอื่นๆ ซึ่งมิได้จัดประเภทไว้ในที่อื่น</t>
  </si>
  <si>
    <t>บริการขายส่งยานยนต์ใหม่ชนิดรถยนต์นั่งส่วนบุคคล รถกระบะ รถตู้ และรถขนาดเล็กที่คล้ายกัน โดยได้รับค่าตอบแทนหรือตามสัญญาจ้าง</t>
  </si>
  <si>
    <t>บริการขายส่งยานยนต์ใหม่ชนิดรถยนต์นั่งส่วนบุคคล รถกระบะ รถตู้ และรถขนาดเล็กที่คล้ายกันทางอินเทอร์เน็ต โดยได้รับค่าตอบแทนหรือตามสัญญาจ้าง</t>
  </si>
  <si>
    <t>บริการขายส่งยานยนต์ใหม่ชนิดรถยนต์นั่งส่วนบุคคล รถกระบะ รถตู้ และรถขนาดเล็กที่คล้ายกัน โดยวิธีอื่นๆ ซึ่งมิได้จัดประเภทไว้ในที่อื่น โดยได้รับค่าตอบแทนหรือตามสัญญาจ้าง</t>
  </si>
  <si>
    <t>บริการขายยานยนต์ใหม่ชนิดรถบรรทุกและยานยนต์หนักอื่นๆ</t>
  </si>
  <si>
    <t>บริการขายส่งยานยนต์ใหม่ชนิดรถบรรทุกและยานยนต์หนักอื่นๆ</t>
  </si>
  <si>
    <t>บริการขายส่งยานยนต์ใหม่ชนิดที่ใช้เพื่อการพักแรม</t>
  </si>
  <si>
    <t xml:space="preserve">บริการขายส่งยานยนต์ใหม่ชนิดรถบรรทุก รถพ่วง รถโดยสาร และ ยานยนต์หนักอื่นๆ </t>
  </si>
  <si>
    <t>บริการขายปลีกยานยนต์ใหม่ชนิดรถบรรทุกและยานยนต์หนักอื่นๆ ในร้านเฉพาะอย่าง</t>
  </si>
  <si>
    <t>บริการขายปลีกยานยนต์ใหม่ชนิดที่ใช้เพื่อการพักแรมในร้านเฉพาะอย่าง</t>
  </si>
  <si>
    <t>บริการขายปลีกยานยนต์ใหม่ชนิดรถบรรทุก รถพ่วง รถโดยสาร และยานยนต์หนักอื่นๆ ในร้านเฉพาะอย่าง</t>
  </si>
  <si>
    <t>บริการขายปลีกยานยนต์ใหม่ชนิดรถบรรทุกและยานยนต์หนักอื่นๆ โดยวิธีอื่นๆ</t>
  </si>
  <si>
    <t>บริการขายปลีกยานยนต์ใหม่ชนิดรถบรรทุกและยานยนต์หนักอื่นๆ ทางอินเทอร์เน็ต</t>
  </si>
  <si>
    <t>บริการขายปลีกยานยนต์ใหม่ชนิดรถบรรทุกและยานยนต์หนักอื่นๆ โดยวิธีอื่นๆ ซึ่งมิได้จัดประเภทไว้ในที่อื่น</t>
  </si>
  <si>
    <t>บริการขายส่งยานยนต์ใหม่ชนิดรถบรรทุกและยานยนต์หนักอื่นๆ โดยได้รับค่าตอบแทนหรือตามสัญญาจ้าง</t>
  </si>
  <si>
    <t>บริการขายส่งยานยนต์ใหม่ชนิดรถบรรทุกและยานยนต์หนักอื่นๆ ทางอินเทอร์เน็ต โดยได้รับค่าตอบแทนหรือตามสัญญาจ้าง</t>
  </si>
  <si>
    <t>บริการขายส่งยานยนต์ใหม่ชนิดรถบรรทุกและยานยนต์หนักอื่นๆ โดยวิธีอื่นๆ ซึ่งมิได้จัดประเภทไว้ในที่อื่น โดยได้รับค่าตอบแทนหรือตามสัญญาจ้าง</t>
  </si>
  <si>
    <t>บริการขายยานยนต์เก่าชนิดรถยนต์นั่งส่วนบุคคล รถกระบะ รถตู้ และรถขนาดเล็กที่คล้ายกัน</t>
  </si>
  <si>
    <t>บริการขายส่งยานยนต์เก่าชนิดรถยนต์นั่งส่วนบุคคล รถกระบะ รถตู้ และรถขนาดเล็กที่คล้ายกัน</t>
  </si>
  <si>
    <t>บริการขายส่งยานยนต์เก่าชนิดรถยนต์นั่งส่วนบุคคล รถกระบะ รถตู้</t>
  </si>
  <si>
    <t xml:space="preserve">บริการขายส่งยานยนต์เก่าขนาดเล็กอื่นๆ ที่คล้ายกัน </t>
  </si>
  <si>
    <t>บริการขายปลีกยานยนต์เก่าชนิดรถยนต์นั่งส่วนบุคคล รถกระบะ รถตู้ และรถขนาดเล็กที่คล้ายกันในร้านเฉพาะอย่าง</t>
  </si>
  <si>
    <t>บริการขายปลีกยานยนต์เก่าชนิดรถยนต์นั่งส่วนบุคคล รถกระบะ รถตู้ในร้านเฉพาะอย่าง</t>
  </si>
  <si>
    <t>บริการขายปลีกยานยนต์เก่าขนาดเล็กอื่นๆ ที่คล้ายกัน ในร้านเฉพาะอย่าง</t>
  </si>
  <si>
    <t>บริการขายปลีกยานยนต์เก่าชนิดรถยนต์นั่งส่วนบุคคล รถกระบะ รถตู้ และรถขนาดเล็กที่คล้ายกันโดยวิธีอื่นๆ</t>
  </si>
  <si>
    <t>บริการขายปลีกยานยนต์เก่าชนิดรถยนต์นั่งส่วนบุคคล รถกระบะ รถตู้ และรถขนาดเล็กที่คล้ายกันทางอินเทอร์เน็ต</t>
  </si>
  <si>
    <t>บริการขายปลีกยานยนต์เก่าชนิดรถยนต์นั่งส่วนบุคคล รถกระบะ รถตู้ และรถขนาดเล็กที่คล้ายกันโดยวิธีอื่นๆ ซึ่งมิได้จัดประเภทไว้ในที่อื่น</t>
  </si>
  <si>
    <t>บริการขายปลีกยานยนต์เก่าชนิดรถยนต์นั่งส่วนบุคคล รถกระบะ รถตู้ และรถขนาดเล็กที่คล้ายกัน โดยได้รับค่าตอบแทนหรือตามสัญญาจ้าง</t>
  </si>
  <si>
    <t>บริการขายปลีกยานยนต์เก่าชนิดรถยนต์นั่งส่วนบุคคล รถกระบะ รถตู้ และรถขนาดเล็กที่คล้ายกันทางอินเทอร์เน็ต โดยได้รับค่าตอบแทนหรือตามสัญญาจ้าง</t>
  </si>
  <si>
    <t>บริการขายปลีกยานยนต์เก่าชนิดรถยนต์นั่งส่วนบุคคล รถกระบะ รถตู้ และรถขนาดเล็กที่คล้ายกัน โดยวิธีอื่นๆ ซึ่งมิได้จัดประเภทไว้ในที่อื่น โดยได้รับค่าตอบแทนหรือตามสัญญาจ้าง</t>
  </si>
  <si>
    <t>บริการขายยานยนต์เก่าชนิดรถบรรทุกและยานยนต์หนักอื่นๆ</t>
  </si>
  <si>
    <t>บริการขายส่งยานยนต์เก่าชนิดรถบรรทุกและยานยนต์หนักอื่นๆ</t>
  </si>
  <si>
    <t>บริการขายส่งยานยนต์เก่าชนิดที่ใช้เพื่อการพักแรม</t>
  </si>
  <si>
    <t xml:space="preserve">บริการขายส่งยานยนต์เก่าชนิดรถบรรทุก รถพ่วง รถโดยสาร และยานยนต์หนักอื่นๆ </t>
  </si>
  <si>
    <t>บริการขายปลีกยานยนต์เก่าชนิดรถบรรทุกและยานยนต์หนักอื่นๆ ในร้านเฉพาะอย่าง</t>
  </si>
  <si>
    <t>บริการขายปลีกยานยนต์เก่าชนิดที่ใช้เพื่อการพักแรมในร้านเฉพาะอย่าง</t>
  </si>
  <si>
    <t>บริการขายปลีกยานยนต์เก่าชนิดรถบรรทุก รถพ่วง รถโดยสาร และยานยนต์หนักอื่นๆ ในร้านเฉพาะอย่าง</t>
  </si>
  <si>
    <t>บริการขายปลีกยานยนต์เก่าชนิดรถบรรทุกและยานยนต์หนักอื่นๆ โดยวิธีอื่นๆ</t>
  </si>
  <si>
    <t>บริการขายปลีกยานยนต์เก่าชนิดรถบรรทุกและยานยนต์หนักอื่นๆ ทางอินเทอร์เน็ต</t>
  </si>
  <si>
    <t xml:space="preserve">บริการขายปลีกยานยนต์เก่าชนิดรถบรรทุกและยานยนต์หนักอื่นๆ โดยวิธีอื่นๆ ซึ่งมิได้จัดประเภทไว้ในที่อื่น </t>
  </si>
  <si>
    <t>บริการขายปลีกยานยนต์เก่าชนิดรถบรรทุกและยานยนต์หนักอื่นๆ โดยได้รับค่าตอบแทนหรือตามสัญญาจ้าง</t>
  </si>
  <si>
    <t>บริการขายปลีกยานยนต์เก่าชนิดรถบรรทุกและยานยนต์หนักอื่นๆ ทางอินเทอร์เน็ต โดยได้รับค่าตอบแทนหรือตามสัญญาจ้าง</t>
  </si>
  <si>
    <t>บริการขายปลีกยานยนต์เก่าชนิดรถบรรทุกและยานยนต์หนักอื่นๆ โดยวิธีอื่นๆ ซึ่งมิได้จัดประเภทไว้ในที่อื่น โดยได้รับค่าตอบแทนหรือตามสัญญาจ้าง</t>
  </si>
  <si>
    <t>บริการบำรุงรักษาและซ่อมยานยนต์</t>
  </si>
  <si>
    <t>บริการบำรุงรักษาและซ่อมระบบเครื่องยนต์และชิ้นส่วนยานยนต์</t>
  </si>
  <si>
    <t>บริการบำรุงรักษาและซ่อมระบบเครื่องยนต์และชิ้นส่วนยานยนต์ ชนิดรถยนต์นั่งส่วนบุคคล รถกระบะ รถตู้ และรถขนาดเล็กที่คล้ายกัน</t>
  </si>
  <si>
    <t>บริการบำรุงรักษาและซ่อมระบบเครื่องยนต์และชิ้นส่วน (ยกเว้น ระบบไฟฟ้า ยาง และตัวถัง) สำหรับยานยนต์ชนิดรถยนต์นั่งส่วนบุคคล รถกระบะ รถตู้ และรถขนาดเล็กที่คล้ายกัน</t>
  </si>
  <si>
    <t>บริการซ่อมระบบไฟฟ้าสำหรับยานยนต์ชนิดรถยนต์นั่งส่วนบุคคล รถกระบะ รถตู้ และรถขนาดเล็กที่คล้ายกัน</t>
  </si>
  <si>
    <t>บริการซ่อมยางนอกและยางใน บริการตั้งศูนย์ถ่วงล้อสำหรับยานยนต์ชนิดรถยนต์นั่งส่วนบุคคล รถกระบะ รถตู้ และรถขนาดเล็กที่คล้ายกัน</t>
  </si>
  <si>
    <t>บริการบำรุงรักษาและซ่อมระบบเครื่องยนต์และชิ้นส่วนยานยนต์ ชนิดรถบรรทุกและยานยนต์หนักอื่นๆ</t>
  </si>
  <si>
    <t>บริการบำรุงรักษาและซ่อมระบบเครื่องยนต์และชิ้นส่วน (ยกเว้นระบบไฟฟ้าและตัวถัง) สำหรับยานยนต์รถบรรทุกและยานยนต์หนักอื่นๆ</t>
  </si>
  <si>
    <t>บริการซ่อมระบบไฟฟ้าสำหรับยานยนต์ชนิดรถบรรทุกและยานยนต์หนักอื่นๆ</t>
  </si>
  <si>
    <t>บริการซ่อมตัวถัง ประตู หน้าต่าง และอื่นๆ ที่คล้ายกัน</t>
  </si>
  <si>
    <t>บริการซ่อมตัวถัง ประตู หน้าต่าง และอื่นๆ ที่คล้ายกันสำหรับยานยนต์ชนิดรถยนต์นั่งส่วนบุคคล รถกระบะ รถตู้ และรถขนาดเล็กที่คล้ายกัน</t>
  </si>
  <si>
    <t>บริการซ่อมตัวถัง ประตู หน้าต่าง และอื่นๆ ที่คล้ายกันสำหรับยานยนต์ชนิดรถบรรทุกและยานยนต์หนักอื่นๆ</t>
  </si>
  <si>
    <t>บริการบำรุงรักษายานยนต์ทั่วไป</t>
  </si>
  <si>
    <t>บริการขายชิ้นส่วนและอุปกรณ์เสริมของยานยนต์</t>
  </si>
  <si>
    <t>บริการขายส่งชิ้นส่วนและอุปกรณ์เสริมใหม่ของยานยนต์</t>
  </si>
  <si>
    <t>บริการขายส่งยางนอกและยางในใหม่ของยานยนต์</t>
  </si>
  <si>
    <t>บริการขายส่งชิ้นส่วนและอุปกรณ์เสริมใหม่อื่นๆ ของยานยนต์</t>
  </si>
  <si>
    <t>บริการขายส่งชิ้นส่วนและอุปกรณ์เสริมใหม่ของยานยนต์ โดยได้รับค่าตอบแทนหรือตามสัญญาจ้าง</t>
  </si>
  <si>
    <t>บริการขายปลีกชิ้นส่วนและอุปกรณ์เสริมใหม่ของยานยนต์</t>
  </si>
  <si>
    <t>บริการขายปลีกชิ้นส่วนและอุปกรณ์เสริมใหม่ของยานยนต์ในร้านเฉพาะอย่าง</t>
  </si>
  <si>
    <t>บริการขายปลีกยางนอกและยางในใหม่ของยานยนต์ในร้านเฉพาะอย่าง</t>
  </si>
  <si>
    <t>บริการขายปลีกชิ้นส่วนและอุปกรณ์เสริมใหม่อื่นๆ ของยานยนต์ในร้านเฉพาะอย่าง</t>
  </si>
  <si>
    <t>บริการขายปลีกชิ้นส่วนและอุปกรณ์เสริมใหม่ของยานยนต์โดยวิธีอื่นๆ</t>
  </si>
  <si>
    <t>บริการขายปลีกชิ้นส่วนและอุปกรณ์เสริมใหม่ของยานยนต์ทางอินเทอร์เน็ต</t>
  </si>
  <si>
    <t>บริการขายปลีกชิ้นส่วนและอุปกรณ์เสริมใหม่ของยานยนต์ทางไปรษณีย์</t>
  </si>
  <si>
    <t>บริการขายปลีกชิ้นส่วนและอุปกรณ์เสริมใหม่ของยานยนต์โดยวิธีอื่นๆ ซึ่งมิได้จัดประเภทไว้ในที่อื่น</t>
  </si>
  <si>
    <t>บริการขายส่งและปลีกชิ้นส่วนและอุปกรณ์เสริมเก่าของยานยนต์</t>
  </si>
  <si>
    <t>บริการขายส่งชิ้นส่วนและอุปกรณ์เสริมเก่าของยานยนต์</t>
  </si>
  <si>
    <t>บริการขายส่งยางนอกและยางในเก่าของยานยนต์</t>
  </si>
  <si>
    <t>บริการขายส่งชิ้นส่วนและอุปกรณ์เสริมเก่าอื่นๆ ของยานยนต์</t>
  </si>
  <si>
    <t>บริการขายส่งชิ้นส่วนและอุปกรณ์เสริมเก่าของยานยนต์ โดยได้รับค่าตอบแทนหรือตามสัญญาจ้าง</t>
  </si>
  <si>
    <t>บริการขายปลีกชิ้นส่วนและอุปกรณ์เสริมเก่าของยานยนต์ในร้านเฉพาะอย่าง</t>
  </si>
  <si>
    <t>บริการขายปลีกยางนอกและยางในเก่าของยานยนต์ในร้านเฉพาะอย่าง</t>
  </si>
  <si>
    <t>บริการขายปลีกชิ้นส่วนและอุปกรณ์เสริมเก่าอื่นๆ ของยานยนต์ในร้านเฉพาะอย่าง</t>
  </si>
  <si>
    <t>บริการขายปลีกชิ้นส่วนและอุปกรณ์เสริมเก่าของยานยนต์โดยวิธีอื่นๆ</t>
  </si>
  <si>
    <t>บริการขายปลีกชิ้นส่วนและอุปกรณ์เสริมเก่าของยานยนต์ทางอินเทอร์เน็ต</t>
  </si>
  <si>
    <t>บริการขายปลีกชิ้นส่วนและอุปกรณ์เสริมเก่าของยานยนต์ทางไปรษณีย์</t>
  </si>
  <si>
    <t>บริการขายปลีกชิ้นส่วนและอุปกรณ์เสริมเก่าของยานยนต์โดยวิธีอื่นๆ ซึ่งมิได้จัดประเภทไว้ในที่อื่น</t>
  </si>
  <si>
    <t>บริการขาย บำรุงรักษา และซ่อมจักรยานยนต์ ชิ้นส่วนและอุปกรณ์เสริมที่เกี่ยวข้อง</t>
  </si>
  <si>
    <t>บริการขายจักรยานยนต์</t>
  </si>
  <si>
    <t>บริการขายส่งจักรยานยนต์</t>
  </si>
  <si>
    <t>บริการขายส่งจักรยานยนต์โดยได้รับค่าตอบแทนหรือตามสัญญาจ้าง</t>
  </si>
  <si>
    <t>บริการขายปลีกจักรยานยนต์ในร้านเฉพาะอย่าง</t>
  </si>
  <si>
    <t>บริการขายปลีกจักรยานยนต์โดยวิธีอื่นๆ</t>
  </si>
  <si>
    <t>บริการขายส่งชิ้นส่วนและอุปกรณ์เสริมใหม่ของจักรยานยนต์</t>
  </si>
  <si>
    <t>บริการขายส่งชิ้นส่วนและอุปกรณ์เสริมใหม่ของจักรยานยนต์ โดยได้รับค่าตอบแทนหรือตามสัญญาจ้าง</t>
  </si>
  <si>
    <t>บริการขายปลีกชิ้นส่วนและอุปกรณ์เสริมใหม่ของจักรยานยนต์</t>
  </si>
  <si>
    <t>บริการขายปลีกชิ้นส่วนและอุปกรณ์เสริมใหม่ของจักรยานยนต์ในร้านเฉพาะอย่าง</t>
  </si>
  <si>
    <t>บริการขายปลีกชิ้นส่วนและอุปกรณ์เสริมใหม่ของจักรยานยนต์โดยวิธีอื่นๆ</t>
  </si>
  <si>
    <t>บริการขายส่งและปลีกชิ้นส่วนและอุปกรณ์เสริมเก่าของจักรยานยนต์</t>
  </si>
  <si>
    <t>บริการขายส่งชิ้นส่วนและอุปกรณ์เสริมเก่าของจักรยานยนต์</t>
  </si>
  <si>
    <t>บริการขายส่งชิ้นส่วนและอุปกรณ์เสริมเก่าของจักรยานยนต์ โดยได้รับค่าตอบแทนหรือตามสัญญาจ้าง</t>
  </si>
  <si>
    <t>บริการขายปลีกชิ้นส่วนและอุปกรณ์เสริมเก่าของจักรยานยนต์ในร้านเฉพาะอย่าง</t>
  </si>
  <si>
    <t>บริการขายปลีกชิ้นส่วนและอุปกรณ์เสริมเก่าของจักรยานยนต์โดยวิธีอื่นๆ</t>
  </si>
  <si>
    <t>บริการบำรุงรักษาและซ่อมจักรยานยนต์</t>
  </si>
  <si>
    <t>บริการขายส่ง (ยกเว้นยานยนต์และจักรยานยนต์)</t>
  </si>
  <si>
    <t>บริการขายส่งโดยได้รับค่าตอบแทนหรือตามสัญญาจ้าง</t>
  </si>
  <si>
    <t>บริการขายส่งวัตถุดิบทางการเกษตรและสัตว์มีชีวิต โดยได้รับค่าตอบแทนหรือตามสัญญาจ้าง</t>
  </si>
  <si>
    <t>บริการขายส่งสัตว์มีชีวิต โดยได้รับค่าตอบแทนหรือตามสัญญาจ้าง</t>
  </si>
  <si>
    <t>บริการขายส่งดอกไม้และต้นไม้ โดยได้รับค่าตอบแทนหรือตามสัญญาจ้าง</t>
  </si>
  <si>
    <t>บริการขายส่งวัตถุดิบทางการเกษตรอื่นๆ โดยได้รับค่าตอบแทนหรือตามสัญญาจ้าง</t>
  </si>
  <si>
    <t>บริการขายส่งอาหาร เครื่องดื่ม และยาสูบ โดยได้รับค่าตอบแทนหรือตามสัญญาจ้าง</t>
  </si>
  <si>
    <t>บริการขายส่งอาหาร โดยได้รับค่าตอบแทนหรือตามสัญญาจ้าง</t>
  </si>
  <si>
    <t>บริการขายส่งเครื่องดื่ม โดยได้รับค่าตอบแทนหรือตามสัญญาจ้าง</t>
  </si>
  <si>
    <t>บริการขายส่งยาสูบ โดยได้รับค่าตอบแทนหรือตามสัญญาจ้าง</t>
  </si>
  <si>
    <t>บริการขายส่งสิ่งทอ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</si>
  <si>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บริการขายส่งเฟอร์นิเจอร์และของใช้ในครัวเรือน โดยได้รับค่าตอบแทนหรือตามสัญญาจ้าง</t>
  </si>
  <si>
    <t>บริการขายส่งเฟอร์นิเจอร์ โดยได้รับค่าตอบแทนหรือตามสัญญาจ้าง</t>
  </si>
  <si>
    <t>บริการขายส่งวิทยุ โทรทัศน์ และอุปกรณ์บันทึกภาพและเสียง โดยได้รับค่าตอบแทนหรือตามสัญญาจ้าง</t>
  </si>
  <si>
    <t>บริการขายส่งของมีคมและของใช้ในครัวเรือนอื่นๆ โดยได้รับค่าตอบแทนหรือตามสัญญาจ้าง</t>
  </si>
  <si>
    <t>บริการขายส่งสิ่งทอ เสื้อผ้า รองเท้า และเครื่องหนัง โดยได้รับค่าตอบแทนหรือตามสัญญาจ้าง</t>
  </si>
  <si>
    <t>บริการขายส่งสิ่งทอ โดยได้รับค่าตอบแทนหรือตามสัญญาจ้าง</t>
  </si>
  <si>
    <t>บริการขายส่งเสื้อผ้า สิ่งของที่ทำจากขนสัตว์ และรองเท้า โดยได้รับค่าตอบแทนหรือตามสัญญาจ้าง</t>
  </si>
  <si>
    <t>บริการขายส่งเครื่องหนังและเครื่องใช้สำหรับการเดินทาง โดยได้รับค่าตอบแทนหรือตามสัญญาจ้าง</t>
  </si>
  <si>
    <t>บริการขายส่งสินค้าทางเภสัชกรรม เวชภัณฑ์ เครื่องหอม เครื่องสำอาง เครื่องประทินโฉม และเคมีภัณฑ์ที่ใช้ทำความสะอาด โดยได้รับค่าตอบแทนหรือตามสัญญาจ้าง</t>
  </si>
  <si>
    <t>บริการขายส่งหนังสือ หนังสือพิมพ์ นิตยสาร และเครื่องใช้สำนักงาน อุปกรณ์ถ่ายภาพและอุปกรณ์ที่ใช้ในทางทัศนศาสตร์ เกมและของเล่น นาฬิกา เครื่องประดับเพชรพลอยและรูปพรรณ เครื่องกีฬา จักรยาน และสินค้าอุปโภคอื่นๆ โดยได้รับค่าตอบแทนหรือตามสัญญาจ้าง</t>
  </si>
  <si>
    <t xml:space="preserve">บริการขายส่งคอมพิวเตอร์และซอฟต์แวร์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 </t>
  </si>
  <si>
    <t>บริการขายส่งคอมพิวเตอร์ ซอฟต์แวร์ อุปกรณ์อิเล็กทรอนิกส์และโทรคมนาคม โดยได้รับค่าตอบแทนหรือตามสัญญาจ้าง</t>
  </si>
  <si>
    <t>บริการขายส่งคอมพิวเตอร์และซอฟต์แวร์ โดยได้รับค่าตอบแทนหรือตามสัญญาจ้าง</t>
  </si>
  <si>
    <t>บริการขายส่งอุปกรณ์อิเล็กทรอนิกส์และโทรคมนาคม โดยได้รับค่าตอบแทนหรือตามสัญญาจ้าง</t>
  </si>
  <si>
    <t>บริการขายส่งเครื่องจักรอุตสาหกรรม โดยได้รับค่าตอบแทนหรือตามสัญญาจ้าง</t>
  </si>
  <si>
    <t>บริการขายส่งเครื่องจักรและเครื่องอุปกรณ์สำนักงาน รวมถึงเฟอร์นิเจอร์สำนักงาน โดยได้รับค่าตอบแทนหรือตามสัญญาจ้าง</t>
  </si>
  <si>
    <t>บริการขายส่งเรือ อากาศยาน และอุปกรณ์การขนส่ง (ยกเว้นยานยนต์ จักรยานยนต์ และรถจักรยาน) โดยได้รับค่าตอบแทนหรือตามสัญญาจ้าง</t>
  </si>
  <si>
    <t>บริการขายส่งเครื่องจักรอุตสาหกรรมอื่นๆ โดยได้รับค่าตอบแทนหรือตามสัญญาจ้าง</t>
  </si>
  <si>
    <t>บริการขายส่งเชื้อเพลิง สินแร่ และโลหะ โดยได้รับค่าตอบแทนหรือตามสัญญาจ้าง</t>
  </si>
  <si>
    <t>บริการขายส่งเชื้อเพลิงชนิดแข็ง เหลว และก๊าซ และผลิตภัณฑ์ที่เกี่ยวข้อง โดยได้รับค่าตอบแทนหรือตามสัญญาจ้าง</t>
  </si>
  <si>
    <t>บริการขายส่งสินแร่โลหะและโลหะขั้นต้น โดยได้รับค่าตอบแทนหรือตามสัญญาจ้าง</t>
  </si>
  <si>
    <t>บริการขายส่งวัสดุก่อสร้าง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</si>
  <si>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บริการขายส่งไม้และผลิตภัณฑ์ไม้ โดยได้รับค่าตอบแทนหรือตามสัญญาจ้าง</t>
  </si>
  <si>
    <t>บริการขายส่งวัสดุก่อสร้างอื่นๆ เครื่องโลหะ และอุปกรณ์ระบบท่อ โดยได้รับค่าตอบแทนหรือตามสัญญาจ้าง</t>
  </si>
  <si>
    <t>บริการขายส่งสินค้าเฉพาะอย่างอื่นๆ โดยได้รับค่าตอบแทนหรือตามสัญญาจ้าง</t>
  </si>
  <si>
    <t>บริการขายส่งเคมีภัณฑ์ทางอุตสาหกรรม ปุ๋ย และผลิตภัณฑ์เคมีเกษตร โดยได้รับค่าตอบแทนหรือตามสัญญาจ้าง</t>
  </si>
  <si>
    <t>บริการขายส่งสินค้าเฉพาะอย่างอื่นๆ ซึ่งมิได้จัดประเภทไว้ในที่อื่น โดยได้รับค่าตอบแทนหรือตามสัญญาจ้าง</t>
  </si>
  <si>
    <t>บริการขายส่งสินค้าทั่วไป โดยได้รับค่าตอบแทนหรือตามสัญญาจ้าง</t>
  </si>
  <si>
    <t>บริการขายส่งวัตถุดิบทางการเกษตรและสัตว์มีชีวิต</t>
  </si>
  <si>
    <t>บริการขายส่งข้าวเปลือกและธัญพืชอื่นๆ</t>
  </si>
  <si>
    <t>บริการขายส่งพืชน้ำมันที่ใช้ในการผลิตน้ำมันพืช</t>
  </si>
  <si>
    <t>บริการขายส่งยาสูบที่ยังไม่เป็นผลิตภัณฑ์สำเร็จรูป</t>
  </si>
  <si>
    <t>บริการขายส่งสัตว์มีชีวิต</t>
  </si>
  <si>
    <t>บริการขายส่งดอกไม้ ต้นไม้ และเมล็ดพันธุ์พืช</t>
  </si>
  <si>
    <t>บริการขายส่งเมล็ดพันธุ์พืช</t>
  </si>
  <si>
    <t>บริการขายส่งดอกไม้และต้นไม้</t>
  </si>
  <si>
    <t>บริการขายส่งอาหารปศุสัตว์</t>
  </si>
  <si>
    <t>บริการขายส่งวัตถุดิบอื่นๆ ทางการเกษตร</t>
  </si>
  <si>
    <t>บริการขายส่งหนังดิบ หนังที่มีขนติด หนังฟอกหรือหนังที่ตกแต่งแล้ว</t>
  </si>
  <si>
    <t>บริการขายส่งวัตถุดิบอื่นๆ ทางการเกษตร ซึ่งมิได้จัดประเภทไว้ในที่อื่น</t>
  </si>
  <si>
    <t>บริการขายส่งอาหาร เครื่องดื่ม และยาสูบ</t>
  </si>
  <si>
    <t>บริการขายส่งอาหาร</t>
  </si>
  <si>
    <t>บริการขายส่งเนื้อสัตว์และผลิตภัณฑ์เนื้อสัตว์</t>
  </si>
  <si>
    <t>บริการขายส่งเนื้อสัตว์</t>
  </si>
  <si>
    <t>บริการขายส่งผลิตภัณฑ์เนื้อสัตว์</t>
  </si>
  <si>
    <t>บริการขายส่งปลาและผลิตภัณฑ์สัตว์น้ำ</t>
  </si>
  <si>
    <t>บริการขายส่งผักและผลไม้</t>
  </si>
  <si>
    <t>บริการขายส่งผักและผลไม้สด</t>
  </si>
  <si>
    <t>บริการขายส่งผักและผลไม้แปรรูป</t>
  </si>
  <si>
    <t>บริการขายส่งผลิตภัณฑ์นม</t>
  </si>
  <si>
    <t>บริการขายส่งข้าวและผลิตภัณฑ์ที่ได้จากโรงสีข้าว</t>
  </si>
  <si>
    <t>บริการขายส่งผลิตภัณฑ์ขนมอบ ไข่ น้ำมันและไขมันที่ใช้ในการบริโภค</t>
  </si>
  <si>
    <t>บริการขายส่งไข่</t>
  </si>
  <si>
    <t>บริการขายส่งน้ำมันและไขมันที่ใช้ในการบริโภค</t>
  </si>
  <si>
    <t>บริการขายส่งผลิตภัณฑ์ขนมอบ</t>
  </si>
  <si>
    <t>บริการขายส่งน้ำตาล ช็อกโกแลต ลูกกวาด และขนมที่ทำจากน้ำตาล</t>
  </si>
  <si>
    <t>บริการขายส่งน้ำตาล</t>
  </si>
  <si>
    <t>บริการขายส่งช็อกโกแลต ลูกกวาด และขนมที่ทำจากน้ำตาล</t>
  </si>
  <si>
    <t>บริการขายส่งกาแฟ ชา โกโก้</t>
  </si>
  <si>
    <t>บริการขายส่งผลิตภัณฑ์อาหารอื่นๆ</t>
  </si>
  <si>
    <t>บริการขายส่งเครื่องเทศ</t>
  </si>
  <si>
    <t>บริการขายส่งของปรุงแต่งที่ผสมเข้าเป็นเนื้อเดียวกันและอาหารพิเศษสำหรับผู้ควบคุมอาหาร</t>
  </si>
  <si>
    <t>บริการขายส่งผลิตภัณฑ์อาหารอื่นๆ ซึ่งมิได้จัดประเภทไว้ในที่อื่น</t>
  </si>
  <si>
    <t>บริการขายส่งเครื่องดื่มและยาสูบ</t>
  </si>
  <si>
    <t>บริการขายส่งเครื่องดื่มที่มีแอลกอฮอล์</t>
  </si>
  <si>
    <t>บริการขายส่งเครื่องดื่มที่ไม่มีแอลกอฮอล์</t>
  </si>
  <si>
    <t>บริการขายส่งผลิตภัณฑ์ยาสูบ</t>
  </si>
  <si>
    <t xml:space="preserve"> บริการขายส่งของใช้ในครัวเรือน</t>
  </si>
  <si>
    <t>บริการขายส่งสิ่งทอ เสื้อผ้า และรองเท้า</t>
  </si>
  <si>
    <t>บริการขายส่งด้ายและผ้า</t>
  </si>
  <si>
    <t>บริการขายส่งด้าย</t>
  </si>
  <si>
    <t>บริการขายส่งผ้า</t>
  </si>
  <si>
    <t>บริการขายส่งของใช้ในครัวเรือนที่ทำจากสิ่งทอ</t>
  </si>
  <si>
    <t>บริการขายส่งอุปกรณ์ตัดเย็บ</t>
  </si>
  <si>
    <t>บริการขายส่งเสื้อผ้า</t>
  </si>
  <si>
    <t>บริการขายส่งรองเท้า</t>
  </si>
  <si>
    <t>บริการขายส่งเครื่องใช้ไฟฟ้าและอิเล็กทรอนิกส์ชนิดใช้ในครัวเรือน</t>
  </si>
  <si>
    <t>บริการขายส่งเครื่องใช้ไฟฟ้าและอิเล็กทรอนิกส์ชนิดใช้ในครัวเรือน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</si>
  <si>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บริการขายส่งเครื่องใช้ไฟฟ้าชนิดใช้ในครัวเรือน (ยกเว้น วิทยุ โทรทัศน์ อุปกรณ์ถ่ายภาพ และอุปกรณ์ไฟฟ้าสำหรับให้แสงสว่าง)</t>
  </si>
  <si>
    <t>บริการขายส่งเครื่องใช้อิเล็กทรอนิกส์สำหรับเสียงและภาพ เช่น วิทยุ โทรทัศน์ วีดิโอ อุปกรณ์ดีวีดี กล้องดิจิทัล เป็นต้น</t>
  </si>
  <si>
    <t>บริการขายส่งอุปกรณ์ไฟฟ้าสำหรับให้แสงสว่าง</t>
  </si>
  <si>
    <t>บริการขายส่งสินค้าวัฒนธรรมและนันทนาการ</t>
  </si>
  <si>
    <t>บริการขายส่งหนังสือ หนังสือพิมพ์ และเครื่องเขียน</t>
  </si>
  <si>
    <t>บริการขายส่งหนังสือ</t>
  </si>
  <si>
    <t>บริการขายส่งนิตยสารและหนังสือพิมพ์</t>
  </si>
  <si>
    <t>บริการขายส่งเครื่องเขียน</t>
  </si>
  <si>
    <t>บริการขายส่งสื่อบันทึกภาพและเสียงที่บันทึกข้อมูลแล้ว</t>
  </si>
  <si>
    <t>บริการขายส่งเครื่องกีฬา</t>
  </si>
  <si>
    <t>บริการขายส่งเกมและของเล่น</t>
  </si>
  <si>
    <t>บริการขายส่งสินค้าอื่นๆ ด้านวัฒนธรรมและนันทนาการ</t>
  </si>
  <si>
    <t>บริการขายส่งแสตมป์และเหรียญกษาปณ์</t>
  </si>
  <si>
    <t>บริการขายส่งของที่ระลึกและงานศิลป์</t>
  </si>
  <si>
    <t>บริการขายส่งสินค้าอื่นๆ ด้านวัฒนธรรมและนันทนาการ ซึ่งมิได้จัดประเภทไว้ในที่อื่น</t>
  </si>
  <si>
    <t>บริการขายส่งสินค้าทางเภสัชกรรมและทางการแพทย์ เครื่องหอม และเครื่องประทินโฉม</t>
  </si>
  <si>
    <t>บริการขายส่งสินค้าทางเภสัชกรรมและทางการแพทย์</t>
  </si>
  <si>
    <t>บริการขายส่งสินค้าทางเภสัชกรรมขั้นพื้นฐานและสิ่งปรุงแต่งทางเภสัชกรรม</t>
  </si>
  <si>
    <t>บริการขายส่งอุปกรณ์และเครื่องมือเครื่องใช้ทางศัลยกรรม การแพทย์ และศัลยศาสตร์กระดูก</t>
  </si>
  <si>
    <t>บริการขายส่งเครื่องหอม</t>
  </si>
  <si>
    <t>บริการขายส่งเครื่องสำอางและเครื่องประทินโฉม</t>
  </si>
  <si>
    <t>บริการขายส่งของใช้ในครัวเรือนอื่นๆ</t>
  </si>
  <si>
    <t>บริการขายส่งอุปกรณ์ถ่ายภาพและทัศนศาสตร์</t>
  </si>
  <si>
    <t>บริการขายส่งอุปกรณ์ถ่ายภาพ อุปกรณ์ที่ใช้ในทางทัศนศาสตร์ และอุปกรณ์ที่มีความเที่ยงตรงแม่นยำ (ยกเว้นกล้องดิจิทัล)</t>
  </si>
  <si>
    <t>บริการขายส่งนาฬิกาและเครื่องประดับเพชรพลอย</t>
  </si>
  <si>
    <t>บริการขายส่งเครื่องหนังและเครื่องใช้สำหรับการเดินทาง</t>
  </si>
  <si>
    <t>บริการขายส่งเฟอร์นิเจอร์ชนิดใช้ในครัวเรือน</t>
  </si>
  <si>
    <t>บริการขายส่งเครื่องดินเผา เครื่องแก้ว และเครื่องครัว</t>
  </si>
  <si>
    <t>บริการขายส่งเครื่องดินเผา เครื่องแก้วและเครื่องครัว</t>
  </si>
  <si>
    <t>บริการขายส่งเครื่องดินเผาและเครื่องแก้ว</t>
  </si>
  <si>
    <t>บริการขายส่งของมีคมและเครื่องใช้ในครัวเรือนที่ทำจากโลหะ</t>
  </si>
  <si>
    <t>บริการขายส่งของใช้ในครัวเรือนอื่นๆ ซึ่งมิได้จัดประเภทไว้ในที่อื่น</t>
  </si>
  <si>
    <t>บริการขายส่งวัสดุที่ใช้ทำความสะอาดและสิ่งปรุงแต่งที่ใช้ทำความสะอาดและขัดเงา</t>
  </si>
  <si>
    <t>บริการขายส่งถังไม้ ตะกร้า เครื่องสาน ผลิตภัณฑ์ไม้อื่นๆ</t>
  </si>
  <si>
    <t>บริการขายส่งเครื่องใช้ประกอบอาหารและให้ความร้อนชนิดใช้ในครัวเรือนที่ไม่ใช้ไฟฟ้า</t>
  </si>
  <si>
    <t>บริการขายส่งเครื่องดนตรี</t>
  </si>
  <si>
    <t>บริการขายส่งเครื่องจักร อุปกรณ์ และเครื่องมือเครื่องใช้</t>
  </si>
  <si>
    <t>บริการขายส่งคอมพิวเตอร์ อุปกรณ์ต่อพ่วง และซอฟต์แวร์</t>
  </si>
  <si>
    <t>บริการขายส่งอุปกรณ์และชิ้นส่วนทางอิเล็กทรอนิกส์และโทรคมนาคม</t>
  </si>
  <si>
    <t>บริการขายส่งอุปกรณ์และชิ้นส่วนอิเล็กทรอนิกส์</t>
  </si>
  <si>
    <t>บริการขายส่งอุปกรณ์และชิ้นส่วนอิเล็กทรอนิกส์ (ยกเว้น เทป ดิสเก็ต แผ่นแม่เหล็กและแผ่นจานแสง (ซีดี ดีวีดี) เพื่อการบันทึกภาพและเสียงที่ยังไม่ได้บันทึกข้อมูล)</t>
  </si>
  <si>
    <t>บริการขายส่งเทป ดิสเก็ต แผ่นแม่เหล็กและแผ่นจานแสง (ซีดี ดีวีดี) เพื่อการบันทึกภาพและเสียงที่ยังไม่ได้บันทึกข้อมูล</t>
  </si>
  <si>
    <t>บริการขายส่งโทรศัพท์และอุปกรณ์โทรคมนาคม</t>
  </si>
  <si>
    <t>บริการขายส่งเครื่องจักร อุปกรณ์ และเครื่องใช้ทางการเกษตร</t>
  </si>
  <si>
    <t>บริการขายส่งเครื่องจักร อุปกรณ์ และเครื่องใช้ทางการเกษตรและป่าไม้ รวมถึงแทรกเตอร์ที่ใช้ในทางการเกษตรและป่าไม้ (ยกเว้นเครื่องจักร อุปกรณ์ และเครื่องใช้ในการตัดหญ้าและทำสวน)</t>
  </si>
  <si>
    <t>บริการขายส่งเครื่องจักร อุปกรณ์ และเครื่องใช้ในการตัดหญ้าและทำสวน</t>
  </si>
  <si>
    <t>บริการขายส่งเครื่องจักรและอุปกรณ์อื่นๆ</t>
  </si>
  <si>
    <t>บริการขายส่งอุปกรณ์การขนส่ง (ยกเว้น ยานยนต์ จักรยานยนต์ และรถจักรยาน)</t>
  </si>
  <si>
    <t>บริการขายส่งเครื่องจักรและอุปกรณ์งานวิศวกรรมโยธา งานเหมืองแร่ และงานก่อสร้าง</t>
  </si>
  <si>
    <t>บริการขายส่งเครื่องจักรและอุปกรณ์ชนิดใช้ในงานอุตสาหกรรม</t>
  </si>
  <si>
    <t>บริการขายส่งเครื่องมือกล</t>
  </si>
  <si>
    <t>บริการขายส่งเครื่องมือกลสำหรับงานไม้</t>
  </si>
  <si>
    <t>บริการขายส่งเครื่องมือกลสำหรับงานโลหะ</t>
  </si>
  <si>
    <t>บริการขายส่งเครื่องมือกลสำหรับงานวัสดุอื่นๆ</t>
  </si>
  <si>
    <t>บริการขายส่งเครื่องจักรสำหรับการผลิตสิ่งทอ ตัดเย็บและถักนิต</t>
  </si>
  <si>
    <t>บริการขายส่งเครื่องจักรและอุปกรณ์อื่นๆ ชนิดใช้ในงานอุตสาหกรรม</t>
  </si>
  <si>
    <t>บริการขายส่งเครื่องจักรที่ใช้ในกระบวนการผลิตอาหาร เครื่องดื่ม และยาสูบ</t>
  </si>
  <si>
    <t>บริการขายส่งเครื่องจักรและอุปกรณ์อื่นๆ ชนิดใช้ในงานอุตสาหกรรม ซึ่งมิได้จัดประเภทไว้ในที่อื่น</t>
  </si>
  <si>
    <t>บริการขายส่งเครื่องจักร อุปกรณ์ และเฟอร์นิเจอร์ชนิดใช้ในสำนักงาน</t>
  </si>
  <si>
    <t>บริการขายส่งเฟอร์นิเจอร์สำนักงาน</t>
  </si>
  <si>
    <t>บริการขายส่งเครื่องจักรและอุปกรณ์สำนักงาน</t>
  </si>
  <si>
    <t>บริการขายส่งเครื่องจักรและอุปกรณ์อื่นๆ ซึ่งมิได้จัดประเภทไว้ในที่อื่น</t>
  </si>
  <si>
    <t>บริการขายส่งเครื่องจักรและอุปกรณ์ที่ใช้ในการขนส่งและลำเลียง</t>
  </si>
  <si>
    <t>บริการขายส่งลิฟต์และเครื่องจักรในการยกหรือขนย้าย</t>
  </si>
  <si>
    <t>บริการขายส่งเครื่องจักร เครื่องมือ และอุปกรณ์ไฟฟ้า</t>
  </si>
  <si>
    <t>บริการขายส่งอาวุธและกระสุน</t>
  </si>
  <si>
    <t>บริการขายส่งสินค้าเฉพาะประเภทอื่นๆ</t>
  </si>
  <si>
    <t>บริการขายส่งเชื้อเพลิงแข็ง เชื้อเพลิงเหลว และเชื้อเพลิงก๊าซ รวมถึงผลิตภัณฑ์ที่เกี่ยวข้อง</t>
  </si>
  <si>
    <t>บริการขายส่งเชื้อเพลิงแข็ง</t>
  </si>
  <si>
    <t xml:space="preserve">บริการขายส่งเชื้อเพลิงเหลว </t>
  </si>
  <si>
    <t>บริการขายส่งเชื้อเพลิงเหลว</t>
  </si>
  <si>
    <t>บริการขายส่งน้ำมันเชื้อเพลิงรถยนต์และอากาศยาน</t>
  </si>
  <si>
    <t xml:space="preserve">บริการขายส่งเชื้อเพลิงเหลวอื่นๆ </t>
  </si>
  <si>
    <t>บริการขายส่งเชื้อเพลิงก๊าซ</t>
  </si>
  <si>
    <t>บริการขายส่งผลิตภัณฑ์ที่ได้จากการกลั่นปิโตรเลียม</t>
  </si>
  <si>
    <t>บริการขายส่งโลหะและสินแร่โลหะ</t>
  </si>
  <si>
    <t>บริการขายส่งสินแร่เหล็กและโลหะที่ไม่ใช่เหล็ก</t>
  </si>
  <si>
    <t>บริการขายส่งสินแร่เหล็ก</t>
  </si>
  <si>
    <t>บริการขายส่งสินแร่โลหะที่ไม่ใช่เหล็ก</t>
  </si>
  <si>
    <t>บริการขายส่งเหล็ก เหล็กกล้า และโลหะที่ไม่ใช่เหล็กขั้นมูลฐาน</t>
  </si>
  <si>
    <t>บริการขายส่งเหล็กและเหล็กกล้าขั้นมูลฐาน</t>
  </si>
  <si>
    <t>บริการขายส่งโลหะที่ไม่ใช่เหล็กขั้นมูลฐาน</t>
  </si>
  <si>
    <t>บริการขายส่งวัสดุก่อสร้าง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</si>
  <si>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บริการขายส่งอิฐ หิน ปูน ทราย และผลิตภัณฑ์คอนกรีต</t>
  </si>
  <si>
    <t>บริการขายส่งไม้และผลิตภัณฑ์จากไม้แปรรูปขั้นต้น</t>
  </si>
  <si>
    <t>บริการขายส่งไม้ที่ยังไม่แปรรูป</t>
  </si>
  <si>
    <t>บริการขายส่งผลิตภัณฑ์จากไม้แปรรูปขั้นต้น</t>
  </si>
  <si>
    <t>บริการขายส่งสี น้ำมันชักเงา และแลกเกอร์</t>
  </si>
  <si>
    <t>บริการขายส่งอุปกรณ์ระบบท่อและเครื่องสุขภัณฑ์</t>
  </si>
  <si>
    <t>บริการขายส่งเครื่องสุขภัณฑ์</t>
  </si>
  <si>
    <t>บริการขายส่งอุปกรณ์และวัสดุสำหรับวางท่อประปาและระบบทำความร้อน</t>
  </si>
  <si>
    <t>บริการขายส่งวัสดุก่อสร้างอื่นๆ</t>
  </si>
  <si>
    <t>บริการขายส่งเครื่องโลหะและเครื่องมือชนิดใช้งานด้วยมือ</t>
  </si>
  <si>
    <t>บริการขายส่งเครื่องโลหะและกุญแจ</t>
  </si>
  <si>
    <t>บริการขายส่งเครื่องมือชนิดใช้งานด้วยมือ</t>
  </si>
  <si>
    <t>บริการขายส่งวัสดุก่อสร้างอื่นๆ ซึ่งมิได้จัดประเภทไว้ในที่อื่น</t>
  </si>
  <si>
    <t>บริการขายส่งกระจกแผ่นเรียบ</t>
  </si>
  <si>
    <t>บริการขายส่งกระดาษปิดผนัง</t>
  </si>
  <si>
    <t>บริการขายส่งสิ่งปูพื้น (ยกเว้นพรม)</t>
  </si>
  <si>
    <t>บริการขายส่งพรม</t>
  </si>
  <si>
    <t>บริการขายส่งของเสียและเศษวัสดุ และผลิตภัณฑ์อื่นๆ ซึ่งมิได้จัดประเภทไว้ในที่อื่น</t>
  </si>
  <si>
    <t>บริการขายส่งเคมีภัณฑ์ทางอุตสาหกรรม</t>
  </si>
  <si>
    <t>บริการขายส่งปุ๋ยและเคมีภัณฑ์ทางการเกษตร</t>
  </si>
  <si>
    <t>บริการขายส่งยางพาราและพลาสติกขั้นต้น</t>
  </si>
  <si>
    <t>บริการขายส่งบรรจุภัณฑ์ชนิดใช้ในทางอุตสาหกรรม</t>
  </si>
  <si>
    <t>บริการขายส่งของเสียและเศษวัสดุที่สามารถนำกลับมาใช้ใหม่</t>
  </si>
  <si>
    <t>บริการขายส่งผลิตภัณฑ์อื่นๆ ซึ่งมิได้จัดประเภทไว้ในที่อื่น</t>
  </si>
  <si>
    <t>บริการขายส่งกระดาษและกระดาษแข็ง</t>
  </si>
  <si>
    <t>บริการขายส่งเส้นใยสิ่งทอ</t>
  </si>
  <si>
    <t>บริการขายส่งสินค้าทั่วไป</t>
  </si>
  <si>
    <t>บริการขายปลีก (ยกเว้นยานยนต์และจักรยานยนต์)</t>
  </si>
  <si>
    <t>บริการขายปลีกสินค้าทั่วไปในร้าน</t>
  </si>
  <si>
    <t>บริการขายปลีกอาหาร เครื่องดื่ม หรือยาสูบ เป็นสินค้าหลัก ในร้าน</t>
  </si>
  <si>
    <t>บริการขายปลีกอาหาร เครื่องดื่ม หรือยาสูบ เป็นสินค้าหลัก ในซุปเปอร์มาร์เก็ต</t>
  </si>
  <si>
    <t>บริการขายปลีกอาหาร เครื่องดื่ม หรือยาสูบเป็นสินค้าหลักในซุปเปอร์มาร์เก็ต</t>
  </si>
  <si>
    <t>บริการขายปลีกอาหาร เครื่องดื่ม หรือยาสูบ เป็นสินค้าหลัก ในดิสเคาท์สโตร์/ซุปเปอร์เซ็นเตอร์/ไฮเปอร์มาร์เก็ต</t>
  </si>
  <si>
    <t>บริการขายปลีกอาหาร เครื่องดื่ม หรือยาสูบเป็นสินค้าหลักในดิสเคาท์สโตร์/ซุปเปอร์เซ็นเตอร์/ไฮเปอร์มาร์เก็ต</t>
  </si>
  <si>
    <t>บริการขายปลีกอาหาร เครื่องดื่ม หรือยาสูบ เป็นสินค้าหลัก ในร้านสะดวกซื้อ/มินิมาร์ท</t>
  </si>
  <si>
    <t>บริการขายปลีกอาหาร เครื่องดื่ม หรือยาสูบเป็นสินค้าหลักในร้านสะดวกซื้อ/มินิมาร์ท</t>
  </si>
  <si>
    <t>บริการขายปลีกอาหาร เครื่องดื่ม หรือยาสูบ เป็นสินค้าหลัก ในร้านขายของชำ</t>
  </si>
  <si>
    <t>บริการขายปลีกอาหาร เครื่องดื่ม หรือยาสูบเป็นสินค้าหลักในร้านขายของชำ</t>
  </si>
  <si>
    <t>บริการขายปลีกสินค้าทั่วไปอื่นๆ ในร้าน</t>
  </si>
  <si>
    <t>บริการขายปลีกอาหาร เครื่องดื่ม และยาสูบ ในร้าน</t>
  </si>
  <si>
    <t>บริการขายปลีกอาหารในร้าน</t>
  </si>
  <si>
    <t>บริการขายปลีกเนื้อสัตว์และผลิตภัณฑ์เนื้อสัตว์ในร้าน</t>
  </si>
  <si>
    <t>บริการขายปลีกเนื้อสัตว์ในร้าน</t>
  </si>
  <si>
    <t>บริการขายปลีกผลิตภัณฑ์เนื้อสัตว์ในร้าน</t>
  </si>
  <si>
    <t>บริการขายปลีกปลาและผลิตภัณฑ์สัตว์น้ำในร้าน</t>
  </si>
  <si>
    <t>บริการขายปลีกผักและผลไม้ในร้าน</t>
  </si>
  <si>
    <t>บริการขายปลีกผักและผลไม้สดในร้าน</t>
  </si>
  <si>
    <t>บริการขายปลีกผักและผลไม้แปรรูปในร้าน</t>
  </si>
  <si>
    <t>บริการขายปลีกข้าวในร้าน</t>
  </si>
  <si>
    <t>บริการขายปลีกผลิตภัณฑ์ขนมอบในร้าน</t>
  </si>
  <si>
    <t>บริการขายปลีกอาหารอื่นๆ ในร้าน</t>
  </si>
  <si>
    <t>บริการขายปลีกช็อกโกแลตและขนมที่ทำจากน้ำตาลในร้าน</t>
  </si>
  <si>
    <t>บริการขายปลีกผลิตภัณฑ์นมในร้าน</t>
  </si>
  <si>
    <t>บริการขายปลีกไข่ในร้าน</t>
  </si>
  <si>
    <t>บริการขายปลีกกาแฟ ชา โกโก้ และเครื่องเทศในร้าน</t>
  </si>
  <si>
    <t>บริการขายปลีกน้ำมันและไขมันที่ใช้ในการบริโภคในร้าน</t>
  </si>
  <si>
    <t>บริการขายปลีกอาหารอื่นๆ ซึ่งมิได้จัดประเภทไว้ในที่อื่นในร้าน</t>
  </si>
  <si>
    <t>บริการขายปลีกเครื่องดื่มในร้าน</t>
  </si>
  <si>
    <t>บริการขายปลีกเครื่องดื่มที่มีแอลกอฮอล์ในร้าน</t>
  </si>
  <si>
    <t>บริการขายปลีกเครื่องดื่มที่ไม่มีแอลกอฮอล์ในร้าน</t>
  </si>
  <si>
    <t>บริการขายปลีกผลิตภัณฑ์ยาสูบในร้าน</t>
  </si>
  <si>
    <t>บริการขายปลีกเชื้อเพลิงยานยนต์ในร้าน</t>
  </si>
  <si>
    <t>บริการขายปลีกอุปกรณ์สารสนเทศและอุปกรณ์สื่อสารโทรคมนาคมในร้าน</t>
  </si>
  <si>
    <t>บริการขายปลีกคอมพิวเตอร์ อุปกรณ์ต่อพ่วง ซอฟต์แวร์ และอุปกรณ์สื่อสารโทรคมนาคม ในร้าน</t>
  </si>
  <si>
    <t>บริการขายปลีกคอมพิวเตอร์และอุปกรณ์ต่อพ่วงในร้าน</t>
  </si>
  <si>
    <t xml:space="preserve">บริการขายปลีกคอมพิวเตอร์และอุปกรณ์ต่อพ่วงในร้าน   </t>
  </si>
  <si>
    <t>บริการขายปลีกเครื่องเล่นวีดิโอเกมและซอฟต์แวร์สำเร็จรูปในร้าน</t>
  </si>
  <si>
    <t xml:space="preserve">บริการขายปลีกเครื่องเล่นวีดิโอเกมและซอฟต์แวร์สำเร็จรูปในร้าน   </t>
  </si>
  <si>
    <t>บริการขายปลีกอุปกรณ์สื่อสารโทรคมนาคมในร้าน</t>
  </si>
  <si>
    <t xml:space="preserve">บริการขายปลีกอุปกรณ์สื่อสารโทรคมนาคมในร้าน   </t>
  </si>
  <si>
    <t>บริการขายปลีกอุปกรณ์ภาพและเสียงในร้าน</t>
  </si>
  <si>
    <t xml:space="preserve">บริการขายปลีกอุปกรณ์ภาพและเสียงในร้าน   </t>
  </si>
  <si>
    <t>บริการขายปลีกอุปกรณ์อื่นๆ ชนิดใช้ในครัวเรือน ในร้าน</t>
  </si>
  <si>
    <t>บริการขายปลีกสิ่งทอในร้าน</t>
  </si>
  <si>
    <t>บริการขายปลีกผ้าในร้าน</t>
  </si>
  <si>
    <t>บริการขายปลีกของใช้ในครัวเรือนที่ทำจากผ้าในร้าน</t>
  </si>
  <si>
    <t xml:space="preserve">บริการขายปลีกของใช้ในครัวเรือนที่ทำจากผ้าในร้าน   </t>
  </si>
  <si>
    <t>บริการขายปลีกอุปกรณ์ตัดเย็บในร้าน</t>
  </si>
  <si>
    <t xml:space="preserve">บริการขายปลีกอุปกรณ์ตัดเย็บในร้าน   </t>
  </si>
  <si>
    <t>บริการขายปลีกเครื่องโลหะ สี และกระจก ในร้าน</t>
  </si>
  <si>
    <t>บริการขายปลีกเครื่องโลหะในร้าน</t>
  </si>
  <si>
    <t xml:space="preserve">บริการขายปลีกเครื่องโลหะในร้าน   </t>
  </si>
  <si>
    <t xml:space="preserve">บริการขายปลีกเครื่องมือที่ใช้งานด้วยมือในร้าน   </t>
  </si>
  <si>
    <t>บริการขายปลีกสี น้ำมันชักเงา และแลกเกอร์ ในร้าน</t>
  </si>
  <si>
    <t xml:space="preserve">บริการขายปลีกสี น้ำมันชักเงา และแลกเกอร์ในร้าน   </t>
  </si>
  <si>
    <t>บริการขายปลีกอุปกรณ์ระบบท่อและเครื่องสุขภัณฑ์ในร้าน</t>
  </si>
  <si>
    <t xml:space="preserve">บริการขายปลีกอุปกรณ์ระบบท่อและเครื่องสุขภัณฑ์ในร้าน  </t>
  </si>
  <si>
    <t xml:space="preserve">บริการขายปลีกอุปกรณ์ระบบท่อในร้าน  </t>
  </si>
  <si>
    <t>บริการขายปลีกเครื่องสุขภัณฑ์ในร้าน</t>
  </si>
  <si>
    <t>บริการขายปลีกวัสดุก่อสร้างอื่นๆ ในร้าน</t>
  </si>
  <si>
    <t>บริการขายปลีกกระจกแผ่นเรียบในร้าน</t>
  </si>
  <si>
    <t>บริการขายปลีกเครื่องตัดหญ้าและอุปกรณ์ทำสวนในร้าน</t>
  </si>
  <si>
    <t>บริการขายปลีกวัสดุก่อสร้างอื่นๆ ซึ่งมิได้จัดประเภทไว้ในที่อื่นในร้าน</t>
  </si>
  <si>
    <t>บริการขายปลีกวัสดุก่อสร้างหลายชนิด รวมถึงวัสดุอุปกรณ์และเครื่องมือชนิดนำไปใช้ทำงานได้ด้วยตัวเอง</t>
  </si>
  <si>
    <t>บริการขายปลีกวัสดุก่อสร้างหลายชนิด รวมถึงวัสดุอุปกรณ์และเครื่องมือชนิดนำไปใช้ทำงานได้ด้วยตัวเองในร้าน</t>
  </si>
  <si>
    <t>ขายปลีกพรม สิ่งปูพื้น วัสดุปิดผนังและปูพื้น ในร้าน</t>
  </si>
  <si>
    <t>บริการขายปลีกพรม สิ่งปูพื้น วัสดุปิดผนังและปูพื้นในร้าน</t>
  </si>
  <si>
    <t>บริการขายปลีกม่าน ม่านตาข่ายหรือม่านโปร่งในร้าน</t>
  </si>
  <si>
    <t xml:space="preserve">บริการขายปลีกพรม สิ่งปูพื้น วัสดุปิดผนังและปูพื้นในร้าน  </t>
  </si>
  <si>
    <t>บริการขายปลีกเครื่องใช้ไฟฟ้า เฟอร์นิเจอร์ อุปกรณ์ไฟฟ้าสำหรับให้แสงสว่าง และของใช้อื่นๆ ในครัวเรือน ในร้าน</t>
  </si>
  <si>
    <t>บริการขายปลีกเฟอร์นิเจอร์ชนิดใช้ในครัวเรือนในร้าน</t>
  </si>
  <si>
    <t xml:space="preserve">บริการขายปลีกเฟอร์นิเจอร์ชนิดใช้ในครัวเรือนในร้าน   </t>
  </si>
  <si>
    <t>บริการขายปลีกเครื่องดินเผา เครื่องแก้ว และเครื่องครัว ในร้าน</t>
  </si>
  <si>
    <t>บริการขายปลีกเครื่องดินเผา เครื่องแก้ว และเครื่องครัวในร้าน</t>
  </si>
  <si>
    <t>บริการขายปลีกอุปกรณ์ไฟฟ้าสำหรับให้แสงสว่างในร้าน</t>
  </si>
  <si>
    <t xml:space="preserve">บริการขายปลีกอุปกรณ์ไฟฟ้าสำหรับให้แสงสว่างในร้าน   </t>
  </si>
  <si>
    <t>บริการขายปลีกเครื่องดนตรีและอุปกรณ์ที่เกี่ยวข้องในร้าน</t>
  </si>
  <si>
    <t>บริการขายปลีกเครื่องใช้ไฟฟ้าชนิดใช้ในครัวเรือนในร้าน</t>
  </si>
  <si>
    <t>บริการขายปลีกของใช้อื่นๆ ในครัวเรือน ซึ่งมิได้จัดประเภทไว้ในที่อื่น ในร้าน</t>
  </si>
  <si>
    <t>บริการขายปลีกของใช้อื่นๆ ในครัวเรือน ซึ่งมิได้จัดประเภทไว้ในที่อื่นในร้าน</t>
  </si>
  <si>
    <t xml:space="preserve">บริการขายปลีกถังไม้ ตะกร้า เครื่องสาน และผลิตภัณฑ์ไม้อื่นๆ ในร้าน   </t>
  </si>
  <si>
    <t xml:space="preserve">บริการขายปลีกของใช้อื่นๆ ในครัวเรือน ซึ่งมิได้จัดประเภทไว้ในที่อื่นในร้าน   </t>
  </si>
  <si>
    <t>บริการขายปลีกสินค้าวัฒนธรรมและนันทนาการในร้าน</t>
  </si>
  <si>
    <t>บริการขายปลีกหนังสือ หนังสือพิมพ์ และเครื่องเขียน ในร้าน</t>
  </si>
  <si>
    <t>บริการขายปลีกหนังสือ หนังสือพิมพ์ วารสาร และนิตยสาร ในร้าน</t>
  </si>
  <si>
    <t>บริการขายปลีกหนังสือ หนังสือพิมพ์ วารสาร และนิตยสารในร้าน</t>
  </si>
  <si>
    <t>บริการขายปลีกหนังสือในร้าน</t>
  </si>
  <si>
    <t>บริการขายปลีกหนังสือพิมพ์ วารสาร และนิตยสารในร้าน</t>
  </si>
  <si>
    <t>บริการขายปลีกเครื่องเขียนและเครื่องใช้สำนักงานในร้าน</t>
  </si>
  <si>
    <t xml:space="preserve">บริการขายปลีกเครื่องเขียนและเครื่องใช้สำนักงานในร้าน   </t>
  </si>
  <si>
    <t>บริการขายปลีกสื่อบันทึกเสียงและภาพในร้าน</t>
  </si>
  <si>
    <t>บริการขายปลีกเครื่องกีฬาในร้าน</t>
  </si>
  <si>
    <t>บริการขายปลีกอุปกรณ์ค่ายพักแรมในร้าน</t>
  </si>
  <si>
    <t>บริการขายปลีกเสื้อผ้ากีฬาในร้าน</t>
  </si>
  <si>
    <t>บริการขายปลีกรองเท้ากีฬาในร้าน</t>
  </si>
  <si>
    <t>บริการขายปลีกเกมและของเล่นในร้าน</t>
  </si>
  <si>
    <t>บริการขายปลีกสินค้าอื่นๆ ด้านวัฒนธรรมและนันทนาการ ในร้าน</t>
  </si>
  <si>
    <t>บริการขายปลีกผลิตภัณฑ์งานฝีมือคนไทยและของที่ระลึกในร้าน</t>
  </si>
  <si>
    <t>บริการขายปลีกสินค้าอื่นๆ ด้านวัฒนธรรมและนันทนาการ ซึ่งมิได้จัดประเภทไว้ในที่อื่น ในร้าน</t>
  </si>
  <si>
    <t>บริการขายปลีกสินค้าอื่นๆ ด้านวัฒนธรรมและนันทนาการ ซึ่งมิได้จัดประเภทไว้ในที่อื่นในร้าน</t>
  </si>
  <si>
    <t>บริการขายปลีกแสตมป์และเหรียญกษาปณ์ในร้าน</t>
  </si>
  <si>
    <t>บริการขายปลีกสินค้าประเภทอื่นๆ ในร้าน</t>
  </si>
  <si>
    <t>บริการขายปลีกเสื้อผ้า รองเท้า และเครื่องหนัง ในร้าน</t>
  </si>
  <si>
    <t>บริการขายปลีกเสื้อผ้าในร้าน</t>
  </si>
  <si>
    <t>บริการขายปลีกรองเท้าในร้าน</t>
  </si>
  <si>
    <t>บริการขายปลีกเครื่องหนังในร้าน</t>
  </si>
  <si>
    <t>บริการขายปลีกสินค้าทางเภสัชกรรมและเวชภัณฑ์ เครื่องหอม และเครื่องประทินโฉม ในร้าน</t>
  </si>
  <si>
    <t>บริการขายปลีกสินค้าทางเภสัชกรรมและเวชภัณฑ์ในร้าน</t>
  </si>
  <si>
    <t>บริการขายปลีกสินค้าทางเภสัชกรรมในร้าน</t>
  </si>
  <si>
    <t>บริการขายปลีกสินค้าทางเวชภัณฑ์และอุปกรณ์เครื่องใช้ทางศัลยศาสตร์กระดูกในร้าน</t>
  </si>
  <si>
    <t>บริการขายปลีกเครื่องหอมในร้าน</t>
  </si>
  <si>
    <t>บริการขายปลีกเครื่องสำอางและเครื่องประทินโฉมในร้าน</t>
  </si>
  <si>
    <t>บริการขายปลีกสินค้าใหม่อื่นๆ ในร้าน</t>
  </si>
  <si>
    <t>บริการขายปลีกนาฬิกา แว่นตา และอุปกรณ์ถ่ายภาพ ในร้าน</t>
  </si>
  <si>
    <t>บริการขายปลีกนาฬิกา แว่นตา และอุปกรณ์ถ่ายภาพในร้าน</t>
  </si>
  <si>
    <t>บริการขายปลีกนาฬิกาในร้าน</t>
  </si>
  <si>
    <t>บริการขายปลีกแว่นตาและอุปกรณ์ถ่ายภาพในร้าน</t>
  </si>
  <si>
    <t>บริการขายปลีกเครื่องประดับเพชรพลอยในร้าน</t>
  </si>
  <si>
    <t>บริการขายปลีกดอกไม้ ต้นไม้ และอุปกรณ์ที่เกี่ยวข้อง ในร้าน</t>
  </si>
  <si>
    <t>บริการขายปลีกดอกไม้ ต้นไม้ และอุปกรณ์ที่เกี่ยวข้องในร้าน</t>
  </si>
  <si>
    <t>บริการขายปลีกเมล็ดพันธุ์ ดอกไม้ และต้นไม้ในร้าน</t>
  </si>
  <si>
    <t>บริการขายปลีกปุ๋ยและผลิตภัณฑ์เคมีเกษตรในร้าน</t>
  </si>
  <si>
    <t>บริการขายปลีกสัตว์เลี้ยงและอุปกรณ์ที่เกี่ยวข้องในร้าน</t>
  </si>
  <si>
    <t>บริการขายปลีกก๊าซบรรจุถัง ถ่านไม้ และเชื้อเพลิงอื่นๆ สำหรับใช้ในครัวเรือน ในร้าน</t>
  </si>
  <si>
    <t>บริการขายปลีกก๊าซบรรจุถัง ถ่านไม้ และเชื้อเพลิงอื่นๆ สำหรับใช้ในครัวเรือนในร้าน</t>
  </si>
  <si>
    <t>บริการขายปลีกสินค้าใหม่อื่นๆ ซึ่งมิได้จัดประเภทไว้ในที่อื่น ในร้าน</t>
  </si>
  <si>
    <t>บริการขายปลีกสินค้าใหม่อื่นๆ ซึ่งมิได้จัดประเภทไว้ในที่อื่นในร้าน</t>
  </si>
  <si>
    <t>บริการขายปลีกวัสดุที่ใช้สำหรับทำความสะอาดในร้าน</t>
  </si>
  <si>
    <t>บริการขายปลีกสินค้าใช้แล้ว</t>
  </si>
  <si>
    <t>บริการขายปลีกโบราณวัตถุ</t>
  </si>
  <si>
    <t>บริการขายปลีกโบราณวัตถุในร้าน</t>
  </si>
  <si>
    <t>บริการขายปลีกเสื้อผ้า รองเท้า และเครื่องหนัง ที่ใช้แล้ว ในร้าน</t>
  </si>
  <si>
    <t>บริการขายปลีกเสื้อผ้า รองเท้า และเครื่องหนังที่ใช้แล้วในร้าน</t>
  </si>
  <si>
    <t>บริการขายปลีกคอมพิวเตอร์และอุปกรณ์สื่อสารโทรคมนาคมที่ใช้แล้ว ในร้าน</t>
  </si>
  <si>
    <t>บริการขายปลีกคอมพิวเตอร์และอุปกรณ์สื่อสารโทรคมนาคมที่ใช้แล้วในร้าน</t>
  </si>
  <si>
    <t>บริการขายปลีกเครื่องใช้ไฟฟ้าและอิเล็กทรอนิกส์ชนิดใช้ในครัวเรือนที่ใช้แล้ว ในร้าน</t>
  </si>
  <si>
    <t xml:space="preserve">บริการขายปลีกเครื่องใช้ไฟฟ้าและอิเล็กทรอนิกส์ชนิดใช้ในครัวเรือน ที่ใช้แล้วในร้าน   </t>
  </si>
  <si>
    <t>บริการขายปลีกหนังสือ หนังสือพิมพ์ วารสาร และนิตยสาร ที่ใช้แล้ว ในร้าน</t>
  </si>
  <si>
    <t xml:space="preserve">บริการขายปลีกหนังสือ หนังสือพิมพ์ วารสาร และนิตยสารที่ใช้แล้ว ในร้าน  </t>
  </si>
  <si>
    <t>บริการขายปลีกสินค้าใช้แล้วอื่นๆ ในร้าน</t>
  </si>
  <si>
    <t xml:space="preserve">บริการขายปลีกสินค้าใช้แล้วอื่นๆ ในร้าน  </t>
  </si>
  <si>
    <t>บริการขายปลีกบนแผงลอยและตลาด</t>
  </si>
  <si>
    <t>บริการขายปลีกอาหาร เครื่องดื่ม และผลิตภัณฑ์ยาสูบ บนแผงลอยและตลาด</t>
  </si>
  <si>
    <t>บริการขายปลีกอาหารบนแผงลอยและตลาด</t>
  </si>
  <si>
    <t xml:space="preserve">บริการขายปลีกอาหารบนแผงลอยและตลาด   </t>
  </si>
  <si>
    <t>บริการขายปลีกผักและผลไม้บนแผงลอยและตลาด</t>
  </si>
  <si>
    <t>บริการขายปลีกเนื้อสัตว์และผลิตภัณฑ์เนื้อสัตว์บนแผงลอยและตลาด</t>
  </si>
  <si>
    <t xml:space="preserve">บริการขายปลีกปลาและผลิตภัณฑ์สัตว์น้ำบนแผงลอยและตลาด </t>
  </si>
  <si>
    <t>บริการขายปลีกผลิตภัณฑ์ขนมอบบนแผงลอยและตลาด</t>
  </si>
  <si>
    <t>บริการขายปลีกอาหารอื่นๆ บนแผงลอยและตลาด</t>
  </si>
  <si>
    <t>บริการขายปลีกเครื่องดื่มบนแผงลอยและตลาด</t>
  </si>
  <si>
    <t xml:space="preserve">บริการขายปลีกเครื่องดื่มบนแผงลอยและตลาด   </t>
  </si>
  <si>
    <t xml:space="preserve">บริการขายปลีกเครื่องดื่มที่มีแอลกอฮอล์บนแผงลอยและตลาด   </t>
  </si>
  <si>
    <t xml:space="preserve">บริการขายปลีกเครื่องดื่มที่ไม่มีแอลกอฮอล์บนแผงลอยและตลาด   </t>
  </si>
  <si>
    <t>บริการขายปลีกผลิตภัณฑ์ยาสูบบนแผงลอยและตลาด</t>
  </si>
  <si>
    <t xml:space="preserve">บริการขายปลีกผลิตภัณฑ์ยาสูบบนแผงลอยและตลาด   </t>
  </si>
  <si>
    <t>บริการขายปลีกสินค้าสิ่งทอ เสื้อผ้า รองเท้า และเครื่องหนัง บนแผงลอยและตลาด</t>
  </si>
  <si>
    <t>บริการขายปลีกสิ่งทอบนแผงลอยและตลาด</t>
  </si>
  <si>
    <t xml:space="preserve">บริการขายปลีกสิ่งทอบนแผงลอยและตลาด   </t>
  </si>
  <si>
    <t>บริการขายปลีกเสื้อผ้า รองเท้า และเครื่องหนัง บนแผงลอยและตลาด</t>
  </si>
  <si>
    <t>บริการขายปลีกเสื้อผ้า รองเท้า และเครื่องหนังบนแผงลอยและตลาด</t>
  </si>
  <si>
    <t xml:space="preserve">บริการขายปลีกเสื้อผ้าบนแผงลอยและตลาด   </t>
  </si>
  <si>
    <t xml:space="preserve">บริการขายปลีกรองเท้าบนแผงลอยและตลาด   </t>
  </si>
  <si>
    <t xml:space="preserve">บริการขายปลีกเครื่องหนังบนแผงลอยและตลาด   </t>
  </si>
  <si>
    <t>บริการขายปลีกสินค้าอื่นๆ บนแผงลอยและตลาด</t>
  </si>
  <si>
    <t>บริการขายปลีกคอมพิวเตอร์และอุปกรณ์สื่อสารโทรคมนาคมบนแผงลอยและตลาด</t>
  </si>
  <si>
    <t>บริการขายปลีกคอมพิวเตอร์และอุปกรณ์สื่อสารโทรคมนาคม บนแผงลอยและตลาด</t>
  </si>
  <si>
    <t>บริการขายปลีกคอมพิวเตอร์และอุปกรณ์ต่อพ่วง เครื่องเล่นวีดิโอเกมและซอฟต์แวร์สำเร็จรูปบนแผงลอยและตลาด</t>
  </si>
  <si>
    <t xml:space="preserve">บริการขายปลีกอุปกรณ์สื่อสารโทรคมนาคมบนแผงลอยและตลาด   </t>
  </si>
  <si>
    <t>บริการขายปลีกเครื่องใช้ไฟฟ้าและอิเล็กทรอนิกส์ชนิดใช้ในครัวเรือนบนแผงลอยและตลาด</t>
  </si>
  <si>
    <t>บริการขายปลีกเครื่องใช้ไฟฟ้าและอิเล็กทรอนิกส์ชนิดใช้ในครัวเรือน บนแผงลอยและตลาด</t>
  </si>
  <si>
    <t xml:space="preserve">บริการขายปลีกอุปกรณ์ภาพและเสียงบนแผงลอยและตลาด   </t>
  </si>
  <si>
    <t xml:space="preserve">บริการขายปลีกเครื่องใช้ไฟฟ้าชนิดใช้ในครัวเรือนบนแผงลอยและตลาด   </t>
  </si>
  <si>
    <t xml:space="preserve">บริการขายปลีกอุปกรณ์ไฟฟ้าสำหรับให้แสงสว่างบนแผงลอยและตลาด </t>
  </si>
  <si>
    <t>บริการขายปลีกหนังสือ หนังสือพิมพ์ วารสาร และนิตยสาร บนแผงลอยและตลาด</t>
  </si>
  <si>
    <t xml:space="preserve">บริการขายปลีกหนังสือบนแผงลอยและตลาด  </t>
  </si>
  <si>
    <t xml:space="preserve">บริการขายปลีกหนังสือพิมพ์ วารสาร และนิตยสาร บนแผงลอยและตลาด  </t>
  </si>
  <si>
    <t>บริการขายปลีกสื่อบันทึกเสียงและภาพบนแผงลอยและตลาด</t>
  </si>
  <si>
    <t xml:space="preserve">บริการขายปลีกสื่อบันทึกเสียงและภาพบนแผงลอยและตลาด  </t>
  </si>
  <si>
    <t>บริการขายปลีกสินค้าทางเภสัชกรรมและเวชภัณฑ์ เครื่องหอ และเครื่องประทินโฉม บนแผงลอยและตลาด</t>
  </si>
  <si>
    <t>บริการขายปลีกสินค้าทางเภสัชกรรมและเวชภัณฑ์ เครื่องหอม และเครื่องประทินโฉม บนแผงลอยและตลาด</t>
  </si>
  <si>
    <t xml:space="preserve">บริการขายปลีกสินค้าทางเภสัชกรรมบนแผงลอยและตลาด   </t>
  </si>
  <si>
    <t>บริการขายปลีกสินค้าทางเวชภัณฑ์และอุปกรณ์เครื่องใช้ทางศัลยศาสตร์กระดูกบนแผงลอยและตลาด</t>
  </si>
  <si>
    <t xml:space="preserve">บริการขายปลีกเครื่องหอม เครื่องสำอาง และเครื่องประทินโฉม บนแผงลอยและตลาด   </t>
  </si>
  <si>
    <t>บริการขายปลีกนาฬิกา แว่นตา เครื่องประดับเพชรพลอย บนแผงลอยและตลาด</t>
  </si>
  <si>
    <t xml:space="preserve">บริการขายปลีกนาฬิกาและเครื่องประดับเพชรพลอยบนแผงลอยและตลาด </t>
  </si>
  <si>
    <t xml:space="preserve">บริการขายปลีกแว่นตาและอุปกรณ์ถ่ายภาพบนแผงลอยและตลาด   </t>
  </si>
  <si>
    <t>บริการขายปลีกดอกไม้ ต้นไม้ สัตว์เลี้ยง และอาหารสัตว์เลี้ยง บนแผงลอยและตลาด</t>
  </si>
  <si>
    <t>บริการขายปลีกเมล็ดพันธุ์ ดอกไม้ และต้นไม้ บนแผงลอยและตลาด</t>
  </si>
  <si>
    <t>บริการขายปลีกปุ๋ยและผลิตภัณฑ์เคมีเกษตรบนแผงลอยและตลาด</t>
  </si>
  <si>
    <t>บริการขายปลีกสัตว์เลี้ยงและอุปกรณ์ที่เกี่ยวข้องบนแผงลอยและตลาด</t>
  </si>
  <si>
    <t>บริการขายปลีกสินค้าอื่นๆ ซึ่งมิได้จัดประเภทไว้ในที่อื่น บนแผงลอยและตลาด</t>
  </si>
  <si>
    <t>บริการขายปลีกวัสดุก่อสร้าง เครื่องโลหะ บนแผงลอยและตลาด</t>
  </si>
  <si>
    <t>บริการขายปลีกเครื่องโลหะบนแผงลอยและตลาด</t>
  </si>
  <si>
    <t>บริการขายปลีกสี น้ำมันชักเงา และแลกเกอร์ บนแผงลอยและตลาด</t>
  </si>
  <si>
    <t>บริการขายปลีกกระจกแผ่นเรียบบนแผงลอยและตลาด</t>
  </si>
  <si>
    <t>บริการขายปลีกเครื่องตัดหญ้าและอุปกรณ์ทำสวนบนแผงลอยและตลาด</t>
  </si>
  <si>
    <t>บริการขายปลีกอุปกรณ์ระบบท่อบนแผงลอยและตลาด</t>
  </si>
  <si>
    <t>บริการขายปลีกเครื่องสุขภัณฑ์บนแผงลอยและตลาด</t>
  </si>
  <si>
    <t>บริการขายปลีกเครื่องมือที่ใช้งานด้วยมือบนแผงลอยและตลาด</t>
  </si>
  <si>
    <t>บริการขายปลีกวัสดุก่อสร้างอื่นๆ บนแผงลอยและตลาด</t>
  </si>
  <si>
    <t>บริการขายปลีกพรม สิ่งปูพื้น วัสดุปิดผนังและปูพื้นบนแผงลอยและตลาด</t>
  </si>
  <si>
    <t>บริการขายปลีกม่าน ม่านตาข่ายหรือม่านโปร่งบนแผงลอยและตลาด</t>
  </si>
  <si>
    <t>บริการขายปลีกของใช้ในครัวเรือนบนแผงลอยและตลาด</t>
  </si>
  <si>
    <t>บริการขายปลีกเฟอร์นิเจอร์ชนิดใช้ในครัวเรือนบนแผงลอยและตลาด</t>
  </si>
  <si>
    <t>บริการขายปลีกถังไม้ ตะกร้า เครื่องสาน และผลิตภัณฑ์ไม้อื่นๆ บนแผงลอยและตลาด</t>
  </si>
  <si>
    <t>บริการขายปลีกเครื่องดนตรีและอุปกรณ์ที่เกี่ยวข้องบนแผงลอยและตลาด</t>
  </si>
  <si>
    <t>บริการขายปลีกของใช้อื่นๆ ในครัวเรือน ซึ่งมิได้จัดประเภทไว้ในที่อื่นบนแผงลอยและตลาด</t>
  </si>
  <si>
    <t>บริการขายปลีกสินค้าวัฒนธรรมและนันทนาการบนแผงลอยและตลาด</t>
  </si>
  <si>
    <t>บริการขายปลีกเครื่องเขียนและเครื่องใช้สำนักงานบนแผงลอยและตลาด</t>
  </si>
  <si>
    <t>บริการขายปลีกเครื่องกีฬาบนแผงลอยและตลาด</t>
  </si>
  <si>
    <t>บริการขายปลีกอุปกรณ์ค่ายพักแรมบนแผงลอยและตลาด</t>
  </si>
  <si>
    <t>บริการขายปลีกเสื้อผ้ากีฬาบนแผงลอยและตลาด</t>
  </si>
  <si>
    <t>บริการขายปลีกรองเท้ากีฬาบนแผงลอยและตลาด</t>
  </si>
  <si>
    <t>บริการขายปลีกเกมและของเล่นบนแผงลอยและตลาด</t>
  </si>
  <si>
    <t>บริการขายปลีกแสตมป์และเหรียญกษาปณ์บนแผงลอยและตลาด</t>
  </si>
  <si>
    <t>บริการขายปลีกผลิตภัณฑ์งานฝีมือคนไทยและของที่ระลึก และสินค้าอื่นๆ ด้านวัฒนธรรมและนันทนาการบนแผงลอยและตลาด</t>
  </si>
  <si>
    <t>บริการขายปลีกสินค้าใหม่อื่นๆ บนแผงลอยและตลาด</t>
  </si>
  <si>
    <t>บริการขายปลีกวัสดุที่ใช้สำหรับทำความสะอาดบนแผงลอยและตลาด</t>
  </si>
  <si>
    <t>บริการขายปลีกก๊าซบรรจุถัง ถ่านไม้ และเชื้อเพลิงอื่นๆ สำหรับใช้ในครัวเรือนบนแผงลอยและตลาด</t>
  </si>
  <si>
    <t>บริการขายปลีกสินค้าใหม่อื่นๆ ซึ่งมิได้จัดประเภทไว้ในที่อื่นบนแผงลอยและตลาด</t>
  </si>
  <si>
    <t>บริการขายปลีกสินค้าใช้แล้วบนแผงลอยและตลาด</t>
  </si>
  <si>
    <t>บริการขายปลีกโบราณวัตถุบนแผงลอยและตลาด</t>
  </si>
  <si>
    <t>บริการขายปลีกหนังสือ หนังสือพิมพ์ วารสาร และนิตยสาร ที่ใช้แล้ว บนแผงลอยและตลาด</t>
  </si>
  <si>
    <t>บริการขายปลีกสินค้าที่ใช้แล้วอื่นๆ บนแผงลอยและตลาด</t>
  </si>
  <si>
    <t>บริการขายปลีกโดยไม่มีร้าน</t>
  </si>
  <si>
    <t>บริการขายปลีกโดยการรับสั่งสินค้าทางไปรษณีย์ โทรทัศน์ วิทยุ โทรศัพท์ และทางอินเทอร์เน็ต</t>
  </si>
  <si>
    <t>บริการขายปลีกโดยการรับสั่งสินค้าทางไปรษณีย์ โทรทัศน์ วิทยุ และโทรศัพท์</t>
  </si>
  <si>
    <t>บริการขายปลีกอาหาร เครื่องดื่ม และยาสูบโดยการรับสั่งสินค้าทางไปรษณีย์ โทรทัศน์ วิทยุ และโทรศัพท์</t>
  </si>
  <si>
    <t xml:space="preserve">บริการขายปลีกอาหารโดยการรับสั่งสินค้าทางไปรษณีย์ โทรทัศน์ วิทยุ และโทรศัพท์ </t>
  </si>
  <si>
    <t>บริการขายปลีกเครื่องดื่มโดยการรับสั่งสินค้าทางไปรษณีย์ โทรทัศน์ วิทยุ และโทรศัพท์</t>
  </si>
  <si>
    <t>บริการขายปลีกผลิตภัณฑ์ยาสูบโดยการรับสั่งสินค้าทางไปรษณีย์ โทรทัศน์ วิทยุ และโทรศัพท์</t>
  </si>
  <si>
    <t>บริการขายปลีกอุปกรณ์สารสนเทศและอุปกรณ์สื่อสารโทรคมนาคม โดยการรับสั่งสินค้าทางไปรษณีย์ โทรทัศน์ วิทยุ และโทรศัพท์</t>
  </si>
  <si>
    <t>บริการขายปลีกคอมพิวเตอร์และอุปกรณ์ต่อพ่วง เครื่องเล่นวีดิโอเกมและซอฟต์แวร์สำเร็จรูปโดยการรับสั่งสินค้าทางไปรษณีย์ โทรทัศน์ วิทยุ และโทรศัพท์</t>
  </si>
  <si>
    <t>บริการขายปลีกอุปกรณ์สื่อสารโทรคมนาคมโดยการรับสั่งสินค้าทางไปรษณีย์ โทรทัศน์ วิทยุ และโทรศัพท์</t>
  </si>
  <si>
    <t>บริการขายปลีกสิ่งทอ เสื้อผ้า รองเท้า และเครื่องหนัง โดยการรับสั่งสินค้าทางไปรษณีย์ โทรทัศน์ วิทยุ และโทรศัพท์</t>
  </si>
  <si>
    <t>บริการขายปลีกสิ่งทอโดยการรับสั่งสินค้าทางไปรษณีย์ โทรทัศน์ วิทยุ และโทรศัพท์</t>
  </si>
  <si>
    <t>บริการขายปลีกเสื้อผ้า สิ่งของที่ทำจากขนสัตว์ และรองเท้า โดยการรับ สั่งสินค้าทางไปรษณีย์ โทรทัศน์ วิทยุ และโทรศัพท์</t>
  </si>
  <si>
    <t>บริการขายปลีกเครื่องหนังและเครื่องใช้สำหรับการเดินทาง โดยการรับ สั่งสินค้าทางไปรษณีย์ โทรทัศน์ วิทยุ และโทรศัพท์</t>
  </si>
  <si>
    <t>บริการขายปลีกวัสดุก่อสร้าง เครื่องโลหะ เครื่องอุปกรณ์และวัสดุสำหรับระบบท่อและระบบทำความร้อนโดยการรับสั่งสินค้าทางไปรษณีย์ โทรทัศน์ วิทยุ และโทรศัพท์</t>
  </si>
  <si>
    <t>บริการขายปลีกเครื่องโลหะโดยการรับสั่งสินค้าทางไปรษณีย์ โทรทัศน์ วิทยุ และโทรศัพท์</t>
  </si>
  <si>
    <t>บริการขายปลีกสี น้ำมันชักเงา และแลกเกอร์ โดยการรับสั่งสินค้าทางไปรษณีย์ โทรทัศน์ วิทยุ และโทรศัพท์</t>
  </si>
  <si>
    <t>บริการขายปลีกอุปกรณ์ระบบท่อและเครื่องสุขภัณฑ์โดยการรับสั่งสินค้าทางไปรษณีย์ โทรทัศน์ วิทยุ และโทรศัพท์</t>
  </si>
  <si>
    <t>บริการขายปลีกพรม สิ่งปูพื้น วัสดุปิดผนังและปูพื้น โดยการรับสั่งสินค้าทางไปรษณีย์ โทรทัศน์ วิทยุ และโทรศัพท์</t>
  </si>
  <si>
    <t>บริการขายปลีกวัสดุก่อสร้างอื่นๆ โดยการรับสั่งสินค้าทางไปรษณีย์ โทรทัศน์ วิทยุ และโทรศัพท์</t>
  </si>
  <si>
    <t>บริการขายปลีกเครื่องใช้ไฟฟ้า เฟอร์นิเจอร์ อุปกรณ์ไฟฟ้าสำหรับให้ แสงสว่าง และของใช้อื่นๆ ในครัวเรือน โดยการรับสั่งสินค้าทางไปรษณีย์ โทรทัศน์ วิทยุ และโทรศัพท์</t>
  </si>
  <si>
    <t>บริการขายปลีกอุปกรณ์ภาพและเสียง โดยการรับสั่งสินค้าทางไปรษณีย์ โทรทัศน์ วิทยุ และโทรศัพท์</t>
  </si>
  <si>
    <t>บริการขายปลีกเครื่องใช้ไฟฟ้าชนิดใช้ในครัวเรือนโดยการรับสั่งสินค้าทางไปรษณีย์ โทรทัศน์ วิทยุ และโทรศัพท์</t>
  </si>
  <si>
    <t>บริการขายปลีกเฟอร์นิเจอร์ชนิดใช้ในครัวเรือนโดยการรับสั่งสินค้าทางไปรษณีย์ โทรทัศน์ วิทยุ และโทรศัพท์</t>
  </si>
  <si>
    <t>บริการขายปลีกอุปกรณ์ไฟฟ้าสำหรับให้แสงสว่างโดยการรับสั่งสินค้าทางไปรษณีย์ โทรทัศน์ วิทยุ และโทรศัพท์</t>
  </si>
  <si>
    <t>บริการขายปลีกถังไม้ ตะกร้า เครื่องสาน และผลิตภัณฑ์ไม้อื่นๆ โดยการรับสั่งสินค้าทางไปรษณีย์ โทรทัศน์ วิทยุ และโทรศัพท์</t>
  </si>
  <si>
    <t>บริการขายปลีกเครื่องดนตรีและอุปกรณ์ที่เกี่ยวข้องโดยการรับสั่งสินค้าทางไปรษณีย์ โทรทัศน์ วิทยุ และโทรศัพท์</t>
  </si>
  <si>
    <t>บริการขายปลีกของใช้อื่นๆ ในครัวเรือน ซึ่งมิได้จัดประเภทไว้ในที่อื่นโดยการรับสั่งสินค้าทางไปรษณีย์ โทรทัศน์ วิทยุ และโทรศัพท์</t>
  </si>
  <si>
    <t>บริการขายปลีกสินค้าวัฒนธรรมและนันทนาการโดยการรับสั่งสินค้าทางไปรษณีย์ โทรทัศน์ วิทยุ และโทรศัพท์</t>
  </si>
  <si>
    <t>บริการขายปลีกหนังสือ หนังสือพิมพ์ วารสาร และนิตยสารโดยการรับ สั่งสินค้าทางไปรษณีย์ โทรทัศน์ วิทยุ และโทรศัพท์</t>
  </si>
  <si>
    <t>บริการขายปลีกเครื่องเขียนและเครื่องใช้สำนักงานโดยการรับสั่งสินค้าทางไปรษณีย์ โทรทัศน์ วิทยุ และโทรศัพท์</t>
  </si>
  <si>
    <t>บริการขายปลีกสื่อบันทึกเสียงและภาพโดยการรับสั่งสินค้าทางไปรษณีย์ โทรทัศน์ วิทยุ และโทรศัพท์</t>
  </si>
  <si>
    <t>บริการขายปลีกเครื่องกีฬาโดยการรับสั่งสินค้าทางไปรษณีย์ โทรทัศน์ วิทยุ และโทรศัพท์</t>
  </si>
  <si>
    <t>บริการขายปลีกเกมและของเล่นโดยการรับสั่งสินค้าทางไปรษณีย์ โทรทัศน์ วิทยุ และโทรศัพท์</t>
  </si>
  <si>
    <t>บริการขายปลีกสินค้าอื่นๆ ด้านวัฒนธรรมและนันทนาการ โดยการรับ สั่งสินค้าทางไปรษณีย์ โทรทัศน์ วิทยุ และโทรศัพท์</t>
  </si>
  <si>
    <t>บริการขายปลีกสินค้าทางเภสัชกรรม เวชภัณฑ์ เครื่องหอม เครื่องสำอาง และเครื่องประทินโฉมโดยการรับสั่งสินค้าทางไปรษณีย์ โทรทัศน์ วิทยุ และโทรศัพท์</t>
  </si>
  <si>
    <t>บริการขายปลีกสินค้าทางเภสัชกรรมโดยการรับสั่งสินค้าทางไปรษณีย์ โทรทัศน์ วิทยุ และโทรศัพท์</t>
  </si>
  <si>
    <t>บริการขายปลีกสินค้าทางเวชภัณฑ์และอุปกรณ์เครื่องใช้ทางศัลยศาสตร์กระดูกโดยการรับสั่งสินค้าทางไปรษณีย์ โทรทัศน์ วิทยุ และโทรศัพท์</t>
  </si>
  <si>
    <t>บริการขายปลีกเครื่องหอม เครื่องสำอาง และเครื่องประทินโฉม โดยการรับสั่งสินค้าทางไปรษณีย์ โทรทัศน์ วิทยุ และโทรศัพท์</t>
  </si>
  <si>
    <t>บริการขายปลีกสินค้าใหม่อื่นๆ โดยการรับสั่งสินค้าทางไปรษณีย์ โทรทัศน์ วิทยุ และโทรศัพท์</t>
  </si>
  <si>
    <t>บริการขายปลีกนาฬิกา เครื่องประดับเพชรพลอยและรูปพรรณ อุปกรณ์ถ่ายภาพและอุปกรณ์ที่ใช้ในทางทัศนศาสตร์ โดยการรับสั่งสินค้าทางไปรษณีย์ โทรทัศน์ วิทยุ และโทรศัพท์</t>
  </si>
  <si>
    <t>บริการขายปลีกดอกไม้ ต้นไม้ และอุปกรณ์ที่เกี่ยวข้อง โดยการรับสั่งสินค้าทางไปรษณีย์ โทรทัศน์ วิทยุ และโทรศัพท์</t>
  </si>
  <si>
    <t>บริการขายปลีกสัตว์เลี้ยงและอุปกรณ์ที่เกี่ยวข้องโดยการรับสั่งสินค้าทางไปรษณีย์ โทรทัศน์ วิทยุ และโทรศัพท์</t>
  </si>
  <si>
    <t>บริการขายปลีกสินค้าใหม่อื่นๆ ซึ่งมิได้จัดประเภทไว้ในที่อื่น โดยการรับสั่งสินค้าทางไปรษณีย์ โทรทัศน์ วิทยุ และโทรศัพท์</t>
  </si>
  <si>
    <t>บริการขายปลีกสินค้าใช้แล้วโดยการรับสั่งสินค้าทางไปรษณีย์ โทรทัศน์ วิทยุ และโทรศัพท์</t>
  </si>
  <si>
    <t>บริการขายปลีกโบราณวัตถุโดยการรับสั่งสินค้าทางไปรษณีย์ โทรทัศน์ วิทยุ และโทรศัพท์</t>
  </si>
  <si>
    <t>บริการขายปลีกหนังสือ หนังสือพิมพ์ วารสาร และนิตยสาร ที่ใช้แล้ว โดยการรับสั่งสินค้าทางไปรษณีย์ โทรทัศน์ วิทยุ และโทรศัพท์</t>
  </si>
  <si>
    <t>บริการขายปลีกสินค้าใช้แล้วอื่นๆ โดยการรับสั่งสินค้าทางไปรษณีย์ โทรทัศน์ วิทยุ และโทรศัพท์</t>
  </si>
  <si>
    <t>บริการขายปลีกทางอินเทอร์เน็ต</t>
  </si>
  <si>
    <t>บริการขายปลีกอาหาร เครื่องดื่ม และยาสูบ ทางอินเทอร์เน็ต</t>
  </si>
  <si>
    <t>บริการขายปลีกอาหารทางอินเทอร์เน็ต</t>
  </si>
  <si>
    <t xml:space="preserve">บริการขายปลีกเครื่องดื่มทางอินเทอร์เน็ต </t>
  </si>
  <si>
    <t>บริการขายปลีกผลิตภัณฑ์ยาสูบทางอินเทอร์เน็ต</t>
  </si>
  <si>
    <t>บริการขายปลีกอุปกรณ์สารสนเทศและอุปกรณ์สื่อสารโทรคมนาคม ทางอินเทอร์เน็ต</t>
  </si>
  <si>
    <t>บริการขายปลีกคอมพิวเตอร์และอุปกรณ์ต่อพ่วง เครื่องเล่นวีดิโอเกมและซอฟต์แวร์สำเร็จรูป ทางอินเทอร์เน็ต</t>
  </si>
  <si>
    <t>บริการขายปลีกอุปกรณ์สื่อสารโทรคมนาคมทางอินเทอร์เน็ต</t>
  </si>
  <si>
    <t>บริการขายปลีกสิ่งทอ เสื้อผ้า รองเท้า และเครื่องหนัง ทางอินเทอร์เน็ต</t>
  </si>
  <si>
    <t xml:space="preserve">บริการขายปลีกสิ่งทอทางอินเทอร์เน็ต </t>
  </si>
  <si>
    <t>บริการขายปลีกเสื้อผ้า สิ่งของที่ทำจากขนสัตว์ และรองเท้า ทางอินเทอร์เน็ต</t>
  </si>
  <si>
    <t>บริการขายปลีกเครื่องหนังและเครื่องใช้สำหรับการเดินทาง ทางอินเทอร์เน็ต</t>
  </si>
  <si>
    <t>บริการขายปลีกวัสดุก่อสร้าง เครื่องโลหะ เครื่องอุปกรณ์และวัสดุสำหรับระบบท่อและระบบทำความร้อน ทางอินเทอร์เน็ต</t>
  </si>
  <si>
    <t xml:space="preserve">บริการขายปลีกเครื่องโลหะทางอินเทอร์เน็ต </t>
  </si>
  <si>
    <t>บริการขายปลีกสี น้ำมันชักเงา และแลกเกอร์ ทางอินเทอร์เน็ต</t>
  </si>
  <si>
    <t xml:space="preserve">บริการขายปลีกอุปกรณ์ระบบท่อและเครื่องสุขภัณฑ์ทางอินเทอร์เน็ต </t>
  </si>
  <si>
    <t>บริการขายปลีกพรม สิ่งปูพื้น วัสดุปิดผนังและปูพื้น ทางอินเทอร์เน็ต</t>
  </si>
  <si>
    <t>บริการขายปลีกวัสดุก่อสร้างอื่นๆ ทางอินเทอร์เน็ต</t>
  </si>
  <si>
    <t>บริการขายปลีกเครื่องใช้ไฟฟ้า เฟอร์นิเจอร์ อุปกรณ์ไฟฟ้าสำหรับให้แสงสว่าง และของใช้อื่นๆ ในครัวเรือน ทางอินเทอร์เน็ต</t>
  </si>
  <si>
    <t xml:space="preserve">บริการขายปลีกอุปกรณ์ภาพและเสียงทางอินเทอร์เน็ต </t>
  </si>
  <si>
    <t xml:space="preserve">บริการขายปลีกเครื่องใช้ไฟฟ้าชนิดใช้ในครัวเรือนทางอินเทอร์เน็ต </t>
  </si>
  <si>
    <t xml:space="preserve">บริการขายปลีกเฟอร์นิเจอร์ชนิดใช้ในครัวเรือนทางอินเทอร์เน็ต </t>
  </si>
  <si>
    <t xml:space="preserve">บริการขายปลีกอุปกรณ์ไฟฟ้าสำหรับให้แสงสว่างทางอินเทอร์เน็ต </t>
  </si>
  <si>
    <t>บริการขายปลีกถังไม้ ตะกร้า เครื่องสาน และผลิตภัณฑ์ไม้อื่นๆ ทางอินเทอร์เน็ต</t>
  </si>
  <si>
    <t xml:space="preserve">บริการขายปลีกเครื่องดนตรีและอุปกรณ์ที่เกี่ยวข้องทางอินเทอร์เน็ต </t>
  </si>
  <si>
    <t xml:space="preserve">บริการขายปลีกของใช้อื่นๆ ในครัวเรือน ซึ่งมิได้จัดประเภทไว้ในที่อื่นทางอินเทอร์เน็ต </t>
  </si>
  <si>
    <t xml:space="preserve">บริการขายปลีกสินค้าวัฒนธรรมและนันทนาการทางอินเทอร์เน็ต </t>
  </si>
  <si>
    <t>บริการขายปลีกหนังสือ หนังสือพิมพ์ วารสาร และนิตยสาร ทางอินเทอร์เน็ต</t>
  </si>
  <si>
    <t xml:space="preserve">บริการขายปลีกเครื่องเขียนและเครื่องใช้สำนักงานทางอินเทอร์เน็ต </t>
  </si>
  <si>
    <t xml:space="preserve">บริการขายปลีกสื่อบันทึกเสียงและภาพทางอินเทอร์เน็ต </t>
  </si>
  <si>
    <t xml:space="preserve">บริการขายปลีกเครื่องกีฬาทางอินเทอร์เน็ต </t>
  </si>
  <si>
    <t xml:space="preserve">บริการขายปลีกเกมและของเล่นทางอินเทอร์เน็ต </t>
  </si>
  <si>
    <t xml:space="preserve">บริการขายปลีกสินค้าอื่นๆ ด้านวัฒนธรรมและนันทนาการ ทางอินเทอร์เน็ต </t>
  </si>
  <si>
    <t>บริการขายปลีกสินค้าทางเภสัชกรรม เวชภัณฑ์ เครื่องหอม เครื่องสำอาง และเครื่องประทินโฉม ทางอินเทอร์เน็ต</t>
  </si>
  <si>
    <t xml:space="preserve">บริการขายปลีกสินค้าทางเภสัชกรรมทางอินเทอร์เน็ต </t>
  </si>
  <si>
    <t>บริการขายปลีกสินค้าทางเวชภัณฑ์และอุปกรณ์เครื่องใช้ทางศัลยศาสตร์กระดูกทางอินเทอร์เน็ต</t>
  </si>
  <si>
    <t>บริการขายปลีกเครื่องหอม เครื่องสำอาง และเครื่องประทินโฉม ทางอินเทอร์เน็ต</t>
  </si>
  <si>
    <t>บริการขายปลีกสินค้าใหม่อื่นๆ ทางอินเทอร์เน็ต</t>
  </si>
  <si>
    <t>บริการขายปลีกนาฬิกา เครื่องประดับเพชรพลอยและรูปพรรณ อุปกรณ์ถ่ายภาพและอุปกรณ์ที่ใช้ในทางทัศนศาสตร์ ทางอินเทอร์เน็ต</t>
  </si>
  <si>
    <t xml:space="preserve">บริการขายปลีกดอกไม้ ต้นไม้ และอุปกรณ์ที่เกี่ยวข้อง ทางอินเทอร์เน็ต </t>
  </si>
  <si>
    <t>บริการขายปลีกสัตว์เลี้ยงและอุปกรณ์ที่เกี่ยวข้องทางอินเทอร์เน็ต</t>
  </si>
  <si>
    <t xml:space="preserve">บริการขายปลีกสินค้าใหม่อื่นๆ ซึ่งมิได้จัดประเภทไว้ในที่อื่น ทางอินเทอร์เน็ต </t>
  </si>
  <si>
    <t>บริการขายปลีกสินค้าใช้แล้วทางอินเทอร์เน็ต</t>
  </si>
  <si>
    <t xml:space="preserve">บริการขายปลีกโบราณวัตถุทางอินเทอร์เน็ต </t>
  </si>
  <si>
    <t>บริการขายปลีกหนังสือ หนังสือพิมพ์ วารสาร และนิตยสาร ที่ใช้แล้ว ทางอินเทอร์เน็ต</t>
  </si>
  <si>
    <t>บริการขายปลีกสินค้าใช้แล้วอื่นๆ ทางอินเทอร์เน็ต</t>
  </si>
  <si>
    <t>บริการขายปลีกโดยไม่มีร้านด้วยวิธีอื่นๆ</t>
  </si>
  <si>
    <t>บริการขายตรง</t>
  </si>
  <si>
    <t xml:space="preserve">บริการขายตรงอาหาร เครื่องดื่ม และยาสูบ </t>
  </si>
  <si>
    <t xml:space="preserve">บริการขายตรงอาหาร </t>
  </si>
  <si>
    <t>บริการขายตรงเครื่องดื่ม</t>
  </si>
  <si>
    <t xml:space="preserve">บริการขายตรงผลิตภัณฑ์ยาสูบ </t>
  </si>
  <si>
    <t>บริการขายตรงอุปกรณ์สารสนเทศและอุปกรณ์สื่อสารโทรคมนาคม</t>
  </si>
  <si>
    <t>บริการขายตรงคอมพิวเตอร์และอุปกรณ์ต่อพ่วง เครื่องเล่นวีดิโอเกมและซอฟต์แวร์สำเร็จรูป</t>
  </si>
  <si>
    <t xml:space="preserve">บริการขายตรงอุปกรณ์สื่อสารโทรคมนาคม </t>
  </si>
  <si>
    <t>บริการขายตรงสิ่งทอ เสื้อผ้า รองเท้า และเครื่องหนัง</t>
  </si>
  <si>
    <t xml:space="preserve">บริการขายตรงสิ่งทอ </t>
  </si>
  <si>
    <t>บริการขายตรงเสื้อผ้า สิ่งของที่ทำจากขนสัตว์ และรองเท้า</t>
  </si>
  <si>
    <t xml:space="preserve">บริการขายตรงเครื่องหนังและเครื่องใช้สำหรับการเดินทาง </t>
  </si>
  <si>
    <t>บริการขายตรงวัสดุก่อสร้าง เครื่องโลหะ เครื่องอุปกรณ์และวัสดุสำหรับระบบท่อและระบบทำความร้อน</t>
  </si>
  <si>
    <t xml:space="preserve">บริการขายตรงเครื่องโลหะ </t>
  </si>
  <si>
    <t xml:space="preserve">บริการขายตรงสี น้ำมันชักเงา และแลกเกอร์ </t>
  </si>
  <si>
    <t xml:space="preserve">บริการขายตรงอุปกรณ์ระบบท่อและเครื่องสุขภัณฑ์ </t>
  </si>
  <si>
    <t xml:space="preserve">บริการขายตรงพรม สิ่งปูพื้น วัสดุปิดผนังและปูพื้น </t>
  </si>
  <si>
    <t xml:space="preserve">บริการขายตรงวัสดุก่อสร้างอื่นๆ </t>
  </si>
  <si>
    <t>บริการขายตรงเครื่องใช้ไฟฟ้า เฟอร์นิเจอร์ อุปกรณ์ไฟฟ้าสำหรับให้แสงสว่าง และของใช้อื่นๆ ในครัวเรือน</t>
  </si>
  <si>
    <t>บริการขายตรงอุปกรณ์ภาพและเสียง</t>
  </si>
  <si>
    <t xml:space="preserve">บริการขายตรงเครื่องใช้ไฟฟ้าชนิดใช้ในครัวเรือน </t>
  </si>
  <si>
    <t xml:space="preserve">บริการขายตรงเฟอร์นิเจอร์ชนิดใช้ในครัวเรือน </t>
  </si>
  <si>
    <t xml:space="preserve">บริการขายตรงอุปกรณ์ไฟฟ้าสำหรับให้แสงสว่าง </t>
  </si>
  <si>
    <t>บริการขายตรงถังไม้ ตะกร้า เครื่องสาน และผลิตภัณฑ์ไม้อื่นๆ</t>
  </si>
  <si>
    <t>บริการขายตรงเครื่องดนตรีและอุปกรณ์ที่เกี่ยวข้อง</t>
  </si>
  <si>
    <t xml:space="preserve">บริการขายตรงของใช้อื่นๆ ในครัวเรือน ซึ่งมิได้จัดประเภทไว้ในที่อื่น </t>
  </si>
  <si>
    <t xml:space="preserve">บริการขายตรงสินค้าวัฒนธรรมและนันทนาการ </t>
  </si>
  <si>
    <t xml:space="preserve">บริการขายตรงหนังสือ หนังสือพิมพ์ วารสาร และนิตยสาร </t>
  </si>
  <si>
    <t xml:space="preserve">บริการขายตรงเครื่องเขียนและเครื่องใช้สำนักงาน </t>
  </si>
  <si>
    <t xml:space="preserve">บริการขายตรงสื่อบันทึกเสียงและภาพ </t>
  </si>
  <si>
    <t xml:space="preserve">บริการขายตรงเครื่องกีฬา </t>
  </si>
  <si>
    <t xml:space="preserve">บริการขายตรงเกมและของเล่น </t>
  </si>
  <si>
    <t xml:space="preserve">บริการขายตรงสินค้าอื่นๆ ด้านวัฒนธรรมและนันทนาการ </t>
  </si>
  <si>
    <t>บริการขายตรงสินค้าทางเภสัชกรรม เวชภัณฑ์ เครื่องหอม เครื่องสำอาง และเครื่องประทินโฉม</t>
  </si>
  <si>
    <t xml:space="preserve">บริการขายตรงสินค้าทางเภสัชกรรม </t>
  </si>
  <si>
    <t>บริการขายตรงสินค้าทางเวชภัณฑ์และอุปกรณ์เครื่องใช้ทางศัลยศาสตร์กระดูก</t>
  </si>
  <si>
    <t xml:space="preserve">บริการขายตรงเครื่องหอม เครื่องสำอางและเครื่องประทินโฉม </t>
  </si>
  <si>
    <t xml:space="preserve">บริการขายตรงสินค้าใหม่อื่นๆ </t>
  </si>
  <si>
    <t xml:space="preserve">บริการขายตรงนาฬิกา เครื่องประดับเพชรพลอยและรูปพรรณ อุปกรณ์ถ่ายภาพและอุปกรณ์ที่ใช้ในทางทัศนศาสตร์ </t>
  </si>
  <si>
    <t xml:space="preserve">บริการขายตรงดอกไม้ ต้นไม้ และอุปกรณ์ที่เกี่ยวข้อง </t>
  </si>
  <si>
    <t xml:space="preserve">บริการขายตรงสัตว์เลี้ยงและอุปกรณ์ที่เกี่ยวข้อง </t>
  </si>
  <si>
    <t>บริการขายตรงสินค้าใหม่อื่นๆ ซึ่งมิได้จัดประเภทไว้ในที่อื่น</t>
  </si>
  <si>
    <t xml:space="preserve">บริการขายตรงสินค้าใช้แล้ว </t>
  </si>
  <si>
    <t xml:space="preserve">บริการขายตรงโบราณวัตถุ </t>
  </si>
  <si>
    <t xml:space="preserve">บริการขายตรงหนังสือ หนังสือพิมพ์ วารสาร และนิตยสาร ที่ใช้แล้ว </t>
  </si>
  <si>
    <t xml:space="preserve">บริการขายตรงสินค้าใช้แล้วอื่นๆ </t>
  </si>
  <si>
    <t>บริการขายปลีกโดยไม่มีร้านด้วยวิธีอื่นๆ ซึ่งมิได้จัดประเภทไว้ในที่อื่น</t>
  </si>
  <si>
    <t>บริการขายปลีกอาหาร เครื่องดื่ม และยาสูบ โดยไม่มีร้านด้วยวิธีอื่นๆ ซึ่งมิได้จัดประเภทไว้ในที่อื่น</t>
  </si>
  <si>
    <t>บริการขายปลีกอาหารโดยไม่มีร้านด้วยวิธีอื่นๆ ซึ่งมิได้จัดประเภทไว้ในที่อื่น</t>
  </si>
  <si>
    <t>บริการขายปลีกเครื่องดื่มโดยไม่มีร้านด้วยวิธีอื่นๆ ซึ่งมิได้จัดประเภทไว้ในที่อื่น</t>
  </si>
  <si>
    <t>บริการขายปลีกผลิตภัณฑ์ยาสูบโดยไม่มีร้านด้วยวิธีอื่นๆ ซึ่งมิได้จัดประเภทไว้ในที่อื่น</t>
  </si>
  <si>
    <t>บริการขายปลีกอุปกรณ์สารสนเทศและอุปกรณ์สื่อสารโทรคมนาคมโดยไม่มีร้านด้วยวิธีอื่นๆ ซึ่งมิได้จัดประเภทไว้ในที่อื่น</t>
  </si>
  <si>
    <t>บริการขายปลีกคอมพิวเตอร์และอุปกรณ์ต่อพ่วง เครื่องเล่นวีดิโอเกมและซอฟต์แวร์สำเร็จรูป โดยไม่มีร้านด้วยวิธีอื่นๆ ซึ่งมิได้จัดประเภทไว้ในที่อื่น</t>
  </si>
  <si>
    <t>บริการขายปลีกอุปกรณ์สื่อสารโทรคมนาคมโดยไม่มีร้านด้วยวิธีอื่นๆ ซึ่งมิได้จัดประเภทไว้ในที่อื่น</t>
  </si>
  <si>
    <t>บริการขายปลีกสิ่งทอ เสื้อผ้า รองเท้า และเครื่องหนัง โดยไม่มีร้าน ด้วยวิธีอื่นๆ ซึ่งมิได้จัดประเภทไว้ในที่อื่น</t>
  </si>
  <si>
    <t>บริการขายปลีกสิ่งทอโดยไม่มีร้านด้วยวิธีอื่นๆ ซึ่งมิได้จัดประเภทไว้ในที่อื่น</t>
  </si>
  <si>
    <t>บริการขายปลีกเสื้อผ้า สิ่งของที่ทำจากขนสัตว์ และรองเท้า โดยไม่มีร้านด้วยวิธีอื่นๆ ซึ่งมิได้จัดประเภทไว้ในที่อื่น</t>
  </si>
  <si>
    <t>บริการขายปลีกเครื่องหนังและเครื่องใช้สำหรับการเดินทางโดยไม่มีร้านด้วยวิธีอื่นๆ ซึ่งมิได้จัดประเภทไว้ในที่อื่น</t>
  </si>
  <si>
    <t>บริการขายปลีกวัสดุก่อสร้าง เครื่องโลหะ เครื่องอุปกรณ์และวัสดุสำหรับระบบท่อและระบบทำความร้อน โดยไม่มีร้านด้วยวิธีอื่นๆ ซึ่งมิได้จัดประเภทไว้ในที่อื่น</t>
  </si>
  <si>
    <t>บริการขายปลีกเครื่องโลหะโดยไม่มีร้านด้วยวิธีอื่นๆ ซึ่งมิได้จัดประเภทไว้ในที่อื่น</t>
  </si>
  <si>
    <t>บริการขายปลีกสี น้ำมันชักเงา และแลกเกอร์ โดยไม่มีร้านด้วยวิธีอื่นๆ ซึ่งมิได้จัดประเภทไว้ในที่อื่น</t>
  </si>
  <si>
    <t>บริการขายปลีกอุปกรณ์ระบบท่อและเครื่องสุขภัณฑ์โดยไม่มีร้านด้วยวิธีอื่นๆ ซึ่งมิได้จัดประเภทไว้ในที่อื่น</t>
  </si>
  <si>
    <t>บริการขายปลีกพรม สิ่งปูพื้น วัสดุปิดผนังและปูพื้น โดยไม่มีร้านด้วยวิธีอื่นๆ ซึ่งมิได้จัดประเภทไว้ในที่อื่น</t>
  </si>
  <si>
    <t>บริการขายปลีกวัสดุก่อสร้างอื่นๆ โดยไม่มีร้านด้วยวิธีอื่นๆ ซึ่งมิได้จัดประเภทไว้ในที่อื่น</t>
  </si>
  <si>
    <t>บริการขายปลีกเครื่องใช้ไฟฟ้า เฟอร์นิเจอร์ อุปกรณ์ไฟฟ้าสำหรับให้แสงสว่าง และของใช้อื่นๆ ในครัวเรือน โดยไม่มีร้านด้วยวิธีอื่นๆ ซึ่งมิได้จัดประเภทไว้ในที่อื่น</t>
  </si>
  <si>
    <t>บริการขายปลีกอุปกรณ์ภาพและเสียงโดยไม่มีร้านด้วยวิธีอื่นๆ ซึ่งมิได้จัดประเภทไว้ในที่อื่น</t>
  </si>
  <si>
    <t>บริการขายปลีกเครื่องใช้ไฟฟ้าชนิดใช้ในครัวเรือนโดยไม่มีร้านด้วยวิธีอื่นๆ ซึ่งมิได้จัดประเภทไว้ในที่อื่น</t>
  </si>
  <si>
    <t>บริการขายปลีกเฟอร์นิเจอร์ชนิดใช้ในครัวเรือนโดยไม่มีร้านด้วยวิธีอื่นๆ ซึ่งมิได้จัดประเภทไว้ในที่อื่น</t>
  </si>
  <si>
    <t>บริการขายปลีกอุปกรณ์ไฟฟ้าสำหรับให้แสงสว่างโดยไม่มีร้านด้วยวิธีอื่นๆ ซึ่งมิได้จัดประเภทไว้ในที่อื่น</t>
  </si>
  <si>
    <t>บริการขายปลีกถังไม้ ตะกร้า เครื่องสาน และผลิตภัณฑ์ไม้อื่นๆ โดยไม่มีร้านด้วยวิธีอื่นๆ ซึ่งมิได้จัดประเภทไว้ในที่อื่น</t>
  </si>
  <si>
    <t>บริการขายปลีกเครื่องดนตรีและอุปกรณ์ที่เกี่ยวข้องโดยไม่มีร้านด้วยวิธีอื่นๆ ซึ่งมิได้จัดประเภทไว้ในที่อื่น</t>
  </si>
  <si>
    <t>บริการขายปลีกของใช้อื่นๆ ในครัวเรือน ซึ่งมิได้จัดประเภทไว้ในที่อื่นโดยไม่มีร้านด้วยวิธีอื่นๆ ซึ่งมิได้จัดประเภทไว้ในที่อื่น</t>
  </si>
  <si>
    <t>บริการขายปลีกสินค้าวัฒนธรรมและนันทนาการโดยไม่มีร้านด้วยวิธีอื่นๆ ซึ่งมิได้จัดประเภทไว้ในที่อื่น</t>
  </si>
  <si>
    <t>บริการขายปลีกหนังสือ หนังสือพิมพ์ วารสาร และนิตยสาร โดยไม่มีร้านด้วยวิธีอื่นๆ ซึ่งมิได้จัดประเภทไว้ในที่อื่น</t>
  </si>
  <si>
    <t>บริการขายปลีกเครื่องเขียนและเครื่องใช้สำนักงานโดยไม่มีร้านด้วยวิธีอื่นๆ ซึ่งมิได้จัดประเภทไว้ในที่อื่น</t>
  </si>
  <si>
    <t>บริการขายปลีกสื่อบันทึกเสียงและภาพโดยไม่มีร้านด้วยวิธีอื่นๆ ซึ่งมิได้จัดประเภทไว้ในที่อื่น</t>
  </si>
  <si>
    <t>บริการขายปลีกเครื่องกีฬาโดยไม่มีร้านด้วยวิธีอื่นๆ ซึ่งมิได้จัดประเภทไว้ในที่อื่น</t>
  </si>
  <si>
    <t>บริการขายปลีกเกมและของเล่นโดยไม่มีร้านด้วยวิธีอื่นๆ ซึ่งมิได้จัดประเภทไว้ในที่อื่น</t>
  </si>
  <si>
    <t>บริการขายปลีกสินค้าอื่นๆ ด้านวัฒนธรรมและนันทนาการ โดยไม่มีร้านด้วยวิธีอื่นๆ ซึ่งมิได้จัดประเภทไว้ในที่อื่น</t>
  </si>
  <si>
    <t>บริการขายปลีกสินค้าทางเภสัชกรรม เวชภัณฑ์ เครื่องหอม เครื่องสำอาง และเครื่องประทินโฉม โดยไม่มีร้านด้วยวิธีอื่นๆ ซึ่งมิได้จัดประเภทไว้ในที่อื่น</t>
  </si>
  <si>
    <t>บริการขายปลีกสินค้าทางเภสัชกรรมโดยไม่มีร้านด้วยวิธีอื่นๆ ซึ่งมิได้จัดประเภทไว้ในที่อื่น</t>
  </si>
  <si>
    <t>บริการขายปลีกสินค้าทางเวชภัณฑ์และอุปกรณ์เครื่องใช้ทางศัลยศาสตร์กระดูก โดยไม่มีร้านด้วยวิธีอื่นๆ ซึ่งมิได้จัดประเภทไว้ในที่อื่น</t>
  </si>
  <si>
    <t>บริการขายปลีกเครื่องหอม เครื่องสำอาง และเครื่องประทินโฉม โดยไม่มีร้านด้วยวิธีอื่นๆ ซึ่งมิได้จัดประเภทไว้ในที่อื่น</t>
  </si>
  <si>
    <t>บริการขายปลีกสินค้าใหม่อื่นๆ โดยไม่มีร้านด้วยวิธีอื่นๆ ซึ่งมิได้จัดประเภทไว้ในที่อื่น</t>
  </si>
  <si>
    <t>บริการขายปลีกนาฬิกา เครื่องประดับเพชรพลอยและรูปพรรณ อุปกรณ์ถ่ายภาพและอุปกรณ์ที่ใช้ในทางทัศนศาสตร์ โดยไม่มีร้านด้วยวิธีอื่นๆ ซึ่งมิได้จัดประเภทไว้ในที่อื่น</t>
  </si>
  <si>
    <t>บริการขายปลีกดอกไม้ ต้นไม้ และอุปกรณ์ที่เกี่ยวข้อง โดยไม่มีร้านด้วยวิธีอื่นๆ ซึ่งมิได้จัดประเภทไว้ในที่อื่น</t>
  </si>
  <si>
    <t>บริการขายปลีกสัตว์เลี้ยงและอุปกรณ์ที่เกี่ยวข้องโดยไม่มีร้านด้วยวิธีอื่นๆ ซึ่งมิได้จัดประเภทไว้ในที่อื่น</t>
  </si>
  <si>
    <t>บริการขายปลีกสินค้าใหม่อื่นๆ ซึ่งมิได้จัดประเภทไว้ในที่อื่น โดยไม่มีร้านด้วยวิธีอื่นๆ ซึ่งมิได้จัดประเภทไว้ในที่อื่น</t>
  </si>
  <si>
    <t>บริการขายปลีกสินค้าใช้แล้วโดยไม่มีร้านด้วยวิธีอื่นๆ ซึ่งมิได้จัดประเภทไว้ในที่อื่น</t>
  </si>
  <si>
    <t>บริการขายปลีกโบราณวัตถุโดยไม่มีร้านด้วยวิธีอื่นๆ ซึ่งมิได้จัดประเภทไว้ในที่อื่น</t>
  </si>
  <si>
    <t>บริการขายปลีกหนังสือ หนังสือพิมพ์ วารสาร และนิตยสาร ที่ใช้แล้วโดยไม่มีร้านด้วยวิธีอื่นๆ ซึ่งมิได้จัดประเภทไว้ในที่อื่น</t>
  </si>
  <si>
    <t>บริการขายปลีกสินค้าใช้แล้วอื่นๆ โดยไม่มีร้านด้วยวิธีอื่นๆ ซึ่งมิได้จัดประเภทไว้ในที่อื่น</t>
  </si>
  <si>
    <t>H</t>
  </si>
  <si>
    <t>บริการขนส่งและสถานที่เก็บสินค้า</t>
  </si>
  <si>
    <t>บริการขนส่งทางบกและทางท่อลำเลียง</t>
  </si>
  <si>
    <t>บริการขนส่งทางรถไฟ</t>
  </si>
  <si>
    <t>บริการขนส่งผู้โดยสารทางรถไฟระหว่างเมือง</t>
  </si>
  <si>
    <t>บริการขนส่งผู้โดยสารทางรถไฟเพื่อท่องเที่ยวชมทัศนียภาพ</t>
  </si>
  <si>
    <t>บริการขนส่งผู้โดยสารทางรถไฟระหว่างเมืองอื่นๆ</t>
  </si>
  <si>
    <t>บริการขนส่งสินค้าทางรถไฟ</t>
  </si>
  <si>
    <t>บริการขนส่งสินค้าแช่เย็นหรือแช่แข็งทางรถไฟ</t>
  </si>
  <si>
    <t xml:space="preserve">บริการขนส่งผลิตภัณฑ์ปิโตรเลียมทางรถไฟ   </t>
  </si>
  <si>
    <t>บริการขนส่งของเหลวหรือก๊าซในปริมาณมากทางรถไฟ</t>
  </si>
  <si>
    <t>บริการขนส่งสินค้าที่บรรจุในตู้คอนเทนเนอร์ทางรถไฟ</t>
  </si>
  <si>
    <t>บริการขนส่งพัสดุและไปรษณีย์ทางรถไฟ</t>
  </si>
  <si>
    <t>บริการขนส่งสินค้าแห้งในปริมาณมากทางรถไฟ</t>
  </si>
  <si>
    <t>บริการขนส่งสัตว์มีชีวิตทางรถไฟ</t>
  </si>
  <si>
    <t>บริการขนส่งสินค้าอื่นๆ ทางรถไฟ</t>
  </si>
  <si>
    <t>บริการขนส่งผู้โดยสารทางรถโดยสารประจำทาง</t>
  </si>
  <si>
    <t>บริการขนส่งผู้โดยสารทางรถโดยสารประจำทางในกรุงเทพฯ และปริมณฑล</t>
  </si>
  <si>
    <t xml:space="preserve">บริการขนส่งผู้โดยสารทางรถโดยสารประจำทางในกรุงเทพฯ และปริมณฑล   </t>
  </si>
  <si>
    <t>บริการขนส่งผู้โดยสารทางรถโดยสารประจำทางระหว่างกรุงเทพฯ กับจังหวัดอื่น</t>
  </si>
  <si>
    <t xml:space="preserve">บริการขนส่งผู้โดยสารทางรถโดยสารประจำทางระหว่างกรุงเทพฯ กับจังหวัดอื่น   </t>
  </si>
  <si>
    <t>บริการขนส่งผู้โดยสารทางรถโดยสารประจำทางระหว่างจังหวัด</t>
  </si>
  <si>
    <t>บริการขนส่งผู้โดยสารทางรถโดยสารประจำทางในชนบท</t>
  </si>
  <si>
    <t>บริการขนส่งผู้โดยสารทางรถโดยสารประจำทางอื่นๆ</t>
  </si>
  <si>
    <t xml:space="preserve">บริการขนส่งผู้โดยสารทางรถโดยสารประจำทางอื่นๆ ระหว่างเมือง </t>
  </si>
  <si>
    <t>บริการขนส่งผู้โดยสารทางรถโดยสารประจำทางอื่นๆ ในเขตเมืองและปริมณฑล</t>
  </si>
  <si>
    <t>บริการขนส่งทางบกอื่นๆ</t>
  </si>
  <si>
    <t>บริการขนส่งผู้โดยสารในเขตเมืองและปริมณฑล (ยกเว้นทางรถโดยสารประจำทาง)</t>
  </si>
  <si>
    <t>บริการขนส่งผู้โดยสารทางรถไฟในเขตเมืองและปริมณฑล</t>
  </si>
  <si>
    <t>บริการขนส่งผู้โดยสารทางรถไฟยกระดับ (ฟันนิคูล่าร์ เรลเวย์) กระเช้าลอยฟ้า ฯลฯ ที่เป็นส่วนหนึ่งของระบบขนส่งในเขตเมืองและปริมณฑล</t>
  </si>
  <si>
    <t>บริการขนส่งผู้โดยสารทางบกอื่นๆ</t>
  </si>
  <si>
    <t>บริการขนส่งผู้โดยสารโดยรถยนต์รับจ้าง/แท็กซี่</t>
  </si>
  <si>
    <t xml:space="preserve">บริการให้เช่ารถยนต์พร้อมคนขับ </t>
  </si>
  <si>
    <t>บริการขนส่งผู้โดยสารโดยรถสามล้อเครื่องและจักรยานยนต์รับจ้าง</t>
  </si>
  <si>
    <t xml:space="preserve">บริการขนส่งผู้โดยสารโดยรถสามล้อเครื่องและจักรยานยนต์รับจ้าง   </t>
  </si>
  <si>
    <t>บริการให้เช่ารถสามล้อเครื่องและจักรยานยนต์พร้อมคนขับ</t>
  </si>
  <si>
    <t>บริการขนส่งผู้โดยสารทางบกอื่นๆ ซึ่งมิได้จัดประเภทไว้ในที่อื่น</t>
  </si>
  <si>
    <t xml:space="preserve">บริการให้เช่ารถบัสและรถโดยสารพร้อมคนขับ </t>
  </si>
  <si>
    <t>บริการรถโดยสารท่องเที่ยวชมทัศนียภาพและชมเมือง</t>
  </si>
  <si>
    <t xml:space="preserve">บริการรถโดยสารท่องเที่ยวชมทัศนียภาพและชมเมือง </t>
  </si>
  <si>
    <t>บริการขนส่งผู้โดยสารทางรถไฟยกระดับ (ฟันนิคูล่าร์ เรลเวย์) กระเช้าลอยฟ้า ฯลฯ ที่ไม่เป็นส่วนหนึ่งของระบบขนส่งในเขตเมืองและปริมณฑล</t>
  </si>
  <si>
    <t xml:space="preserve">บริการขนส่งผู้โดยสารโดยรถบัสและรถโดยสารที่ไม่มีตารางเวลา ในเขตเมือง </t>
  </si>
  <si>
    <t>บริการขนส่งผู้โดยสารโดยรถบัสและรถโดยสารที่ไม่มีตารางเวลา ในระยะทางไกล</t>
  </si>
  <si>
    <t xml:space="preserve">บริการขนส่งผู้โดยสารโดยยานพาหนะที่ใช้คนหรือสัตว์ลากจูง </t>
  </si>
  <si>
    <t xml:space="preserve">บริการขนส่งผู้โดยสารทางบกอื่นๆ ซึ่งมิได้จัดประเภทไว้ในที่อื่น  </t>
  </si>
  <si>
    <t>บริการขนส่งสินค้าทางถนน</t>
  </si>
  <si>
    <t>บริการขนส่งสินค้าแช่เย็นหรือแช่แข็งทางถนน</t>
  </si>
  <si>
    <t xml:space="preserve">บริการให้เช่ารถบรรทุกขนส่งสินค้าแช่เย็นหรือแช่แข็งพร้อมคนขับ </t>
  </si>
  <si>
    <t>บริการขนส่งผลิตภัณฑ์ปิโตรเลียมทางถนน</t>
  </si>
  <si>
    <t xml:space="preserve">บริการให้เช่ารถบรรทุกขนส่งผลิตภัณฑ์ปิโตรเลียมพร้อมคนขับ </t>
  </si>
  <si>
    <t>บริการขนส่งของเหลวหรือก๊าซ (ยกเว้นก๊าซธรรมชาติ) ทางถนน</t>
  </si>
  <si>
    <t xml:space="preserve">บริการให้เช่ารถบรรทุกขนส่งของเหลวหรือก๊าซ (ยกเว้นก๊าซธรรมชาติ) พร้อมคนขับ </t>
  </si>
  <si>
    <t>บริการขนส่งสินค้าที่บรรจุในตู้คอนเทนเนอร์ทางถนน</t>
  </si>
  <si>
    <t>บริการให้เช่ารถบรรทุกขนส่งสินค้าที่บรรจุในตู้คอนเทนเนอร์พร้อมคนขับ</t>
  </si>
  <si>
    <t>บริการขนส่งสินค้าอื่นๆ ทางถนน</t>
  </si>
  <si>
    <t>บริการขนส่งสินค้าแห้งในปริมาณมากทางถนน</t>
  </si>
  <si>
    <t>บริการขนส่งสัตว์มีชีวิตทางถนน</t>
  </si>
  <si>
    <t>บริการขนส่งสินค้าโดยยานพาหนะที่ใช้คนหรือสัตว์ลากจูง</t>
  </si>
  <si>
    <t>บริการขนส่งพัสดุและไปรษณีย์ทางถนน</t>
  </si>
  <si>
    <t>บริการขนส่งสินค้าอื่นๆ ทางถนน  ซึ่งมิได้จัดประเภทไว้ในที่อื่น</t>
  </si>
  <si>
    <t xml:space="preserve">บริการให้เช่ารถบรรทุกขนส่งสินค้าอื่นๆ พร้อมคนขับ </t>
  </si>
  <si>
    <t>บริการขนย้ายสินค้าทางถนน</t>
  </si>
  <si>
    <t>บริการขนย้ายเฟอร์นิเจอร์ทางถนน</t>
  </si>
  <si>
    <t>บริการขนย้ายสินค้าอื่นๆ ทางถนน</t>
  </si>
  <si>
    <t>บริการขนส่งทางท่อลำเลียง</t>
  </si>
  <si>
    <t xml:space="preserve">บริการขนส่งน้ำมันดิบและผลิตภัณฑ์ปิโตรเลียมที่ได้จากการกลั่นทางท่อลำเลียง </t>
  </si>
  <si>
    <t>บริการขนส่งก๊าซธรรมชาติทางท่อลำเลียง</t>
  </si>
  <si>
    <t>บริการขนส่งผลิตภัณฑ์อื่นๆ ทางท่อลำเลียง</t>
  </si>
  <si>
    <t>บริการขนส่งทางน้ำ</t>
  </si>
  <si>
    <t>บริการขนส่งทางทะเลและตามแนวชายฝั่งทะเล</t>
  </si>
  <si>
    <t>บริการขนส่งผู้โดยสารทางทะเลและตามแนวชายฝั่งทะเล</t>
  </si>
  <si>
    <t>บริการขนส่งผู้โดยสารทางทะเลและตามแนวชายฝั่งทะเลโดยเรือโดยสารข้ามฟาก</t>
  </si>
  <si>
    <t xml:space="preserve">บริการขนส่งผู้โดยสารทางทะเลและตามแนวชายฝั่งทะเลโดยเรือโดยสารข้ามฟาก  </t>
  </si>
  <si>
    <t>บริการขนส่งผู้โดยสารทางทะเลและตามแนวชายฝั่งทะเลโดยเรือทัศนาจรหรือเรือสำราญ</t>
  </si>
  <si>
    <t xml:space="preserve">บริการขนส่งผู้โดยสารทางทะเลและตามแนวชายฝั่งทะเล โดยเรือทัศนาจรหรือเรือสำราญ   </t>
  </si>
  <si>
    <t>บริการขนส่งผู้โดยสารทางทะเลและตามแนวชายฝั่งทะเล โดยเรือทัศนาจรหรือเรือสำราญ</t>
  </si>
  <si>
    <t xml:space="preserve">บริการให้เช่าเรือทัศนาจรหรือเรือสำราญ เพื่อการขนส่งผู้โดยสาร   ทางทะเลและตามแนวชายฝั่งทะเล พร้อมผู้ควบคุม  </t>
  </si>
  <si>
    <t>บริการขนส่งผู้โดยสารทางทะเลและตามแนวชายฝั่งทะเลโดยเรืออื่นๆ</t>
  </si>
  <si>
    <t xml:space="preserve">บริการขนส่งผู้โดยสารทางทะเลและตามแนวชายฝั่งทะเลโดยเรืออื่นๆ   </t>
  </si>
  <si>
    <t>บริการขนส่งสินค้าทางทะเลและตามแนวชายฝั่งทะเล</t>
  </si>
  <si>
    <t>บริการขนส่งสินค้าแช่เย็นหรือแช่แข็งทางทะเลและตามแนวชายฝั่งทะเล</t>
  </si>
  <si>
    <t xml:space="preserve">บริการให้เช่าเรือขนส่งสินค้าแช่เย็นหรือแช่แข็งทางทะเลและตามแนวชายฝั่งทะเล  พร้อมผู้ควบคุม  </t>
  </si>
  <si>
    <t xml:space="preserve">บริการขนส่งน้ำมันดิบทางทะเลและตามแนวชายฝั่งทะเล   </t>
  </si>
  <si>
    <t xml:space="preserve">บริการให้เช่าเรือขนส่งสินค้าน้ำมันดิบทางทะเลและตามแนวชายฝั่งทะเล พร้อมผู้ควบคุม  </t>
  </si>
  <si>
    <t xml:space="preserve">บริการขนส่งของเหลวหรือก๊าซทางทะเลและตามแนวชายฝั่งทะเล   </t>
  </si>
  <si>
    <t>บริการขนส่งของเหลวหรือก๊าซทางทะเลและตามแนวชายฝั่งทะเล</t>
  </si>
  <si>
    <t xml:space="preserve">บริการให้เช่าเรือขนส่งของเหลวหรือก๊าซทางทะเลและตามแนวชายฝั่งทะเล พร้อมผู้ควบคุม  </t>
  </si>
  <si>
    <t xml:space="preserve">บริการขนส่งสิ่งของที่นำมาบรรจุในตู้คอนเทนเนอร์ทางทะเลและตามแนวชายฝั่งทะเล   </t>
  </si>
  <si>
    <t xml:space="preserve">บริการให้เช่าเรือขนส่งสิ่งของที่นำมาบรรจุในตู้คอนเทนเนอร์ทางทะเลและตามแนวชายฝั่งทะเล  พร้อมผู้ควบคุม  </t>
  </si>
  <si>
    <t xml:space="preserve">บริการขนส่งสินค้าแห้งในปริมาณมากทางทะเลและตามแนวชายฝั่งทะเล   </t>
  </si>
  <si>
    <t xml:space="preserve">บริการให้เช่าเรือขนส่งสินค้าแห้งในปริมาณมากทางทะเลและตามแนวชายฝั่งทะเล  พร้อมผู้ควบคุม  </t>
  </si>
  <si>
    <t xml:space="preserve">บริการขนส่งสินค้าอื่นๆ ทางทะเลและตามแนวชายฝั่งทะเล   </t>
  </si>
  <si>
    <t xml:space="preserve">บริการให้เช่าเรือขนส่งสินค้าอื่นๆ ทางทะเลและตามแนวชายฝั่งทะเล  พร้อมผู้ควบคุม  </t>
  </si>
  <si>
    <t>บริการลากและดันเรือ/สิ่งก่อสร้างลอยน้ำ ที่ดำเนินการทางทะเลและตามแนวชายฝั่งทะเล</t>
  </si>
  <si>
    <t xml:space="preserve">บริการลากและดันเรือ/สิ่งก่อสร้างลอยน้ำ ที่ดำเนินการทางทะเลและตามแนวชายฝั่งทะเล   </t>
  </si>
  <si>
    <t>บริการขนส่งทางน้ำภายในประเทศ</t>
  </si>
  <si>
    <t>บริการขนส่งผู้โดยสารทางน้ำภายในประเทศ</t>
  </si>
  <si>
    <t>บริการขนส่งผู้โดยสารทางน้ำภายในประเทศโดยเรือโดยสารข้ามฟาก</t>
  </si>
  <si>
    <t xml:space="preserve">บริการขนส่งผู้โดยสารทางน้ำภายในประเทศโดยเรือโดยสารข้ามฟาก   </t>
  </si>
  <si>
    <t>บริการให้เช่าเรือโดยสารข้ามฟากเพื่อการขนส่งผู้โดยสารทางน้ำภายในประเทศ พร้อมผู้ควบคุม</t>
  </si>
  <si>
    <t>บริการขนส่งผู้โดยสารทางน้ำภายในประเทศโดยเรือทัศนาจรหรือเรือสำราญ</t>
  </si>
  <si>
    <t xml:space="preserve">บริการขนส่งผู้โดยสารทางน้ำภายในประเทศโดยเรือทัศนาจรหรือ   เรือสำราญ   </t>
  </si>
  <si>
    <t>บริการขนส่งผู้โดยสารทางน้ำภายในประเทศโดยเรือสำราญ</t>
  </si>
  <si>
    <t>บริการขนส่งผู้โดยสารทางน้ำภายในประเทศโดยเรือทัศนาจร</t>
  </si>
  <si>
    <t>บริการให้เช่าเรือทัศนาจรหรือเรือสำราญเพื่อการขนส่งผู้โดยสารทางน้ำภายในประเทศ พร้อมผู้ควบคุม</t>
  </si>
  <si>
    <t>บริการขนส่งผู้โดยสารทางน้ำภายในประเทศโดยเรืออื่นๆ</t>
  </si>
  <si>
    <t xml:space="preserve">บริการขนส่งผู้โดยสารทางน้ำภายในประเทศโดยเรืออื่นๆ   </t>
  </si>
  <si>
    <t>บริการให้เช่าเรืออื่นๆ เพื่อการขนส่งผู้โดยสารทางน้ำภายในประเทศ พร้อมผู้ควบคุม</t>
  </si>
  <si>
    <t>บริการขนส่งสินค้าทางน้ำภายในประเทศ</t>
  </si>
  <si>
    <t xml:space="preserve">บริการขนส่งสินค้าแช่เย็นหรือแช่แข็งทางน้ำภายในประเทศ   </t>
  </si>
  <si>
    <t xml:space="preserve">บริการให้เช่าเรือขนส่งสินค้าแช่เย็นหรือแช่แข็งทางน้ำภายในประเทศ พร้อมผู้ควบคุม  </t>
  </si>
  <si>
    <t xml:space="preserve">บริการขนส่งน้ำมันดิบทางน้ำภายในประเทศ   </t>
  </si>
  <si>
    <t xml:space="preserve">บริการให้เช่าเรือขนส่งน้ำมันดิบทางน้ำภายในประเทศ พร้อมผู้ควบคุม  </t>
  </si>
  <si>
    <t xml:space="preserve">บริการขนส่งของเหลวหรือก๊าซทางน้ำภายในประเทศ   </t>
  </si>
  <si>
    <t xml:space="preserve">บริการให้เช่าเรือขนส่งของเหลวหรือก๊าซทางน้ำภายในประเทศ    พร้อมผู้ควบคุม  </t>
  </si>
  <si>
    <t>บริการขนส่งสิ่งของที่นำมาบรรจุในตู้คอนเทนเนอร์ทางน้ำภายในประเทศ</t>
  </si>
  <si>
    <t xml:space="preserve">บริการให้เช่าเรือขนส่งสิ่งของที่นำมาบรรจุในตู้คอนเทนเนอร์ทางน้ำภายในประเทศ พร้อมผู้ควบคุม  </t>
  </si>
  <si>
    <t xml:space="preserve">บริการขนส่งสินค้าอื่นๆ ทางน้ำภายในประเทศ   </t>
  </si>
  <si>
    <t>บริการขนส่งสินค้าอื่นๆ ทางน้ำภายในประเทศ</t>
  </si>
  <si>
    <t>บริการให้เช่าเรือขนส่งสินค้าอื่นๆ ทางน้ำภายในประเทศ พร้อมผู้ควบคุม</t>
  </si>
  <si>
    <t>บริการลากและดันเรือ/สิ่งก่อสร้างลอยน้ำ ที่ดำเนินการทางน้ำภายในประเทศ</t>
  </si>
  <si>
    <t xml:space="preserve">บริการลากและดันเรือ/สิ่งก่อสร้างลอยน้ำ ที่ดำเนินการทางน้ำภายในประเทศ   </t>
  </si>
  <si>
    <t>บริการขนส่งทางอากาศ</t>
  </si>
  <si>
    <t>บริการขนส่งผู้โดยสารทางอากาศ</t>
  </si>
  <si>
    <t>บริการขนส่งผู้โดยสารทางอากาศที่มีตารางเวลา</t>
  </si>
  <si>
    <t xml:space="preserve">บริการขนส่งผู้โดยสารทางอากาศที่มีตารางเวลา </t>
  </si>
  <si>
    <t xml:space="preserve">บริการขนส่งผู้โดยสารทางอากาศที่มีตารางเวลาภายในประเทศ   </t>
  </si>
  <si>
    <t xml:space="preserve">บริการขนส่งผู้โดยสารทางอากาศที่มีตารางเวลาระหว่างประเทศ   </t>
  </si>
  <si>
    <t>บริการขนส่งผู้โดยสารทางอากาศที่ไม่มีตารางเวลา</t>
  </si>
  <si>
    <t xml:space="preserve">บริการขนส่งผู้โดยสารทางอากาศที่ไม่มีตารางเวลา  </t>
  </si>
  <si>
    <t xml:space="preserve">บริการขนส่งผู้โดยสารทางอากาศที่ไม่มีตารางเวลาภายในประเทศ   </t>
  </si>
  <si>
    <t xml:space="preserve">บริการขนส่งผู้โดยสารทางอากาศที่ไม่มีตารางเวลาระหว่างประเทศ   </t>
  </si>
  <si>
    <t xml:space="preserve">บริการขนส่งผู้โดยสารทางอากาศที่ไม่มีตารางเวลาเพื่อชมทัศนียภาพ   </t>
  </si>
  <si>
    <t xml:space="preserve">บริการให้เช่าเครื่องอุปกรณ์ขนส่งผู้โดยสารทางอากาศโดยมีผู้ควบคุม </t>
  </si>
  <si>
    <t xml:space="preserve">บริการขนส่งผู้โดยสารทางอวกาศ  </t>
  </si>
  <si>
    <t>บริการขนส่งสินค้าทางอากาศ</t>
  </si>
  <si>
    <t>บริการขนส่งสินค้าทางอากาศที่มีตารางเวลา</t>
  </si>
  <si>
    <t xml:space="preserve">บริการขนส่งสินค้าทางอากาศที่มีตารางเวลา ทั้งภายในประเทศและระหว่างประเทศ  </t>
  </si>
  <si>
    <t xml:space="preserve">บริการขนส่งสินค้าที่นำมาบรรจุในตู้คอนเทนเนอร์ทางอากาศที่มีตารางเวลา   </t>
  </si>
  <si>
    <t xml:space="preserve">บริการขนส่งจดหมายและพัสดุภัณฑ์ทางอากาศที่มีตารางเวลา </t>
  </si>
  <si>
    <t xml:space="preserve">บริการขนส่งสินค้าอื่นๆ ทางอากาศที่มีตารางเวลา   </t>
  </si>
  <si>
    <t>บริการขนส่งสินค้าทางอากาศที่ไม่มีตารางเวลา</t>
  </si>
  <si>
    <t xml:space="preserve">บริการขนส่งสินค้าทางอากาศที่ไม่มีตารางเวลา ทั้งภายในประเทศและระหว่างประเทศ  </t>
  </si>
  <si>
    <t xml:space="preserve">บริการขนส่งจดหมายและพัสดุภัณฑ์ทางอากาศที่ไม่มีตารางเวลา </t>
  </si>
  <si>
    <t xml:space="preserve">บริการขนส่งสินค้าอื่นๆ ทางอากาศที่ไม่มีตารางเวลา   </t>
  </si>
  <si>
    <t xml:space="preserve">บริการให้เช่าเครื่องอุปกรณ์ขนส่งสินค้าทางอากาศโดยมีผู้ควบคุม  </t>
  </si>
  <si>
    <t xml:space="preserve">บริการขนส่งสินค้าทางอวกาศ  </t>
  </si>
  <si>
    <t>บริการคลังสินค้าและบริการที่สนับสนุนการขนส่ง</t>
  </si>
  <si>
    <t>บริการคลังสินค้าและจัดเก็บสินค้า</t>
  </si>
  <si>
    <t>บริการคลังสินค้าและจัดเก็บสินค้าแช่เย็นหรือแช่แข็ง</t>
  </si>
  <si>
    <t xml:space="preserve">บริการคลังสินค้าและจัดเก็บสินค้าแช่เย็นหรือแช่แข็ง  </t>
  </si>
  <si>
    <t>บริการคลังสินค้าและจัดเก็บสินค้าธัญพืช</t>
  </si>
  <si>
    <t xml:space="preserve">บริการคลังสินค้าและจัดเก็บสินค้าธัญพืช   </t>
  </si>
  <si>
    <t>บริการคลังสินค้าและจัดเก็บสินค้าอื่นๆ</t>
  </si>
  <si>
    <t>บริการคลังสินค้าและจัดเก็บสินค้าที่เป็นของเหลวและก๊าซ</t>
  </si>
  <si>
    <t xml:space="preserve">บริการคลังสินค้าและจัดเก็บสินค้าอื่นๆ   </t>
  </si>
  <si>
    <t>บริการที่สนับสนุนการขนส่ง</t>
  </si>
  <si>
    <t>บริการที่สนับสนุนการขนส่งทางบก</t>
  </si>
  <si>
    <t>บริการที่สนับสนุนการขนส่งทางรถไฟ</t>
  </si>
  <si>
    <t xml:space="preserve">บริการดันและลากรถไฟ  </t>
  </si>
  <si>
    <t xml:space="preserve">บริการอื่นๆ ที่สนับสนุนการขนส่งทางรถไฟ  </t>
  </si>
  <si>
    <t>บริการสถานีรถโดยสาร</t>
  </si>
  <si>
    <t xml:space="preserve">บริการสถานีรถโดยสาร    </t>
  </si>
  <si>
    <t>บริการสถานที่จอดยานพาหนะ</t>
  </si>
  <si>
    <t xml:space="preserve">บริการสถานที่จอดยานพาหนะ   </t>
  </si>
  <si>
    <t>บริการรถยก</t>
  </si>
  <si>
    <t xml:space="preserve">บริการรถยก   </t>
  </si>
  <si>
    <t>บริการอื่นๆ ที่สนับสนุนการขนส่งทางบก</t>
  </si>
  <si>
    <t xml:space="preserve">บริการอื่นๆ ที่สนับสนุนการขนส่งทางบก   </t>
  </si>
  <si>
    <t xml:space="preserve">บริการด้านการดำเนินงานบนทางหลวง  </t>
  </si>
  <si>
    <t>บริการด้านการดำเนินงานบน สะพาน และอุโมงค์</t>
  </si>
  <si>
    <t xml:space="preserve">บริการอื่นๆ ที่สนับสนุนการขนส่งทางถนน   </t>
  </si>
  <si>
    <t>บริการที่สนับสนุนการขนส่งทางท่อลำเลียง</t>
  </si>
  <si>
    <t>บริการที่สนับสนุนการขนส่งทางน้ำ</t>
  </si>
  <si>
    <t>บริการของท่าเรือ (ยกเว้นบริการขนถ่ายสินค้า)</t>
  </si>
  <si>
    <t xml:space="preserve">บริการทางน้ำและบริการของท่าเรือในทะเลและชายฝั่งทะเล (ยกเว้นบริการขนถ่ายสินค้า)   </t>
  </si>
  <si>
    <t>บริการทางน้ำและบริการของท่าเรือภายในประเทศ (ยกเว้นบริการ  ขนถ่ายสินค้า)</t>
  </si>
  <si>
    <t>บริการอื่นๆ ที่สนับสนุนการขนส่งทางน้ำ</t>
  </si>
  <si>
    <t xml:space="preserve">บริการอื่นๆ ที่สนับสนุนการขนส่งทางน้ำ   </t>
  </si>
  <si>
    <t xml:space="preserve">บริการนำร่องในทะเลและชายฝั่งทะเล  </t>
  </si>
  <si>
    <t>บริการนำร่องทางน้ำภายในประเทศ</t>
  </si>
  <si>
    <t xml:space="preserve">บริการกู้เรือที่ประสบภัยในทะเลและชายฝั่งทะเล  </t>
  </si>
  <si>
    <t>บริการกู้เรือที่ประสบภัยทางน้ำภายในประเทศ</t>
  </si>
  <si>
    <t xml:space="preserve">บริการอื่นๆ ที่สนับสนุนการขนส่งทางน้ำ ซึ่งมิได้จัดประเภทไว้ในที่อื่น </t>
  </si>
  <si>
    <t>บริการที่สนับสนุนการขนส่งทางอากาศ</t>
  </si>
  <si>
    <t>บริการของสนามบิน (ยกเว้นบริการขนถ่ายสินค้า)</t>
  </si>
  <si>
    <t xml:space="preserve">บริการของสนามบิน (ยกเว้นบริการขนถ่ายสินค้า)   </t>
  </si>
  <si>
    <t>บริการอื่นๆ ที่สนับสนุนการขนส่งทางอากาศ</t>
  </si>
  <si>
    <t xml:space="preserve">บริการอื่นๆ ที่สนับสนุนการขนส่งทางอากาศ   </t>
  </si>
  <si>
    <t>บริการควบคุมการจราจรทางอากาศ</t>
  </si>
  <si>
    <t xml:space="preserve">บริการอื่นๆ ที่สนับสนุนการขนส่งทางอากาศ ซึ่งมิได้จัดประเภทไว้ในที่อื่น  </t>
  </si>
  <si>
    <t xml:space="preserve">บริการอื่นๆ ที่สนับสนุนการขนส่งทางอวกาศ   </t>
  </si>
  <si>
    <t>บริการขนถ่ายสินค้า</t>
  </si>
  <si>
    <t>บริการขนถ่ายสินค้าที่บรรจุในตู้คอนเทนเนอร์ที่ท่าเรือ</t>
  </si>
  <si>
    <t>บริการขนถ่ายสินค้าที่บรรจุในตู้คอนเทนเนอร์ (ยกเว้นที่ท่าเรือ)</t>
  </si>
  <si>
    <t>บริการขนถ่ายสินค้าที่ไม่ได้บรรจุในตู้คอนเทนเนอร์ที่ท่าเรือ</t>
  </si>
  <si>
    <t>บริการขนถ่ายสินค้าที่ไม่ได้บรรจุในตู้คอนเทนเนอร์ (ยกเว้นที่ท่าเรือ)</t>
  </si>
  <si>
    <t>บริการขนถ่ายสัมภาระ</t>
  </si>
  <si>
    <t xml:space="preserve">บริการขนถ่ายสัมภาระ   </t>
  </si>
  <si>
    <t>บริการอื่นๆ ที่สนับสนุนการขนส่ง</t>
  </si>
  <si>
    <t>บริการบริหารจัดการด้านการขนส่งและสถานที่เก็บสินค้า</t>
  </si>
  <si>
    <t xml:space="preserve">บริการบริหารจัดการด้านการขนส่งและสถานที่เก็บสินค้า   </t>
  </si>
  <si>
    <t>บริการของตัวแทนรับจัดการส่งสินค้าและตัวแทนออกของ (ตัวแทนดำเนินพิธีการศุลกากร)</t>
  </si>
  <si>
    <t xml:space="preserve">บริการของตัวแทนออกของทางเรือ   </t>
  </si>
  <si>
    <t>บริการของตัวแทนออกของ (ยกเว้นทางเรือ)</t>
  </si>
  <si>
    <t>บริการของตัวแทนรับจัดการขนส่งสินค้าอื่นๆ</t>
  </si>
  <si>
    <t>บริการบรรจุหีบห่อเพื่อการขนส่ง</t>
  </si>
  <si>
    <t xml:space="preserve">บริการบรรจุหีบห่อเพื่อการขนส่ง      </t>
  </si>
  <si>
    <t>บริการอื่นๆ ที่สนับสนุนการขนส่ง ซึ่งมิได้จัดประเภทไว้ในที่อื่น</t>
  </si>
  <si>
    <t xml:space="preserve">บริการอื่นๆ ที่สนับสนุนการขนส่ง  ซึ่งมิได้จัดประเภทไว้ในที่อื่น    </t>
  </si>
  <si>
    <t>บริการไปรษณีย์และรับส่งพัสดุภัณฑ์</t>
  </si>
  <si>
    <t>บริการไปรษณีย์และรับส่งพัสดุภัณฑ์ของรัฐ</t>
  </si>
  <si>
    <t>บริการส่งหนังสือพิมพ์และนิตยสารของรัฐ</t>
  </si>
  <si>
    <t>บริการส่งจดหมายของรัฐ</t>
  </si>
  <si>
    <t>บริการส่งพัสดุภัณฑ์ของรัฐ</t>
  </si>
  <si>
    <t>บริการของเคาน์เตอร์ที่ทำการไปรษณีย์ของรัฐ</t>
  </si>
  <si>
    <t>บริการไปรษณีย์อื่นๆ ของรัฐ</t>
  </si>
  <si>
    <t>บริการไปรษณีย์และรับส่งพัสดุภัณฑ์ที่มิใช่ของรัฐ</t>
  </si>
  <si>
    <t>บริการพัสดุภัณฑ์ด้วยการขนส่งต่อเนื่องหลายรูปแบบ</t>
  </si>
  <si>
    <t>บริการส่งอาหารตามบ้าน</t>
  </si>
  <si>
    <t xml:space="preserve">บริการไปรษณีย์อื่นๆ ที่มิใช่ของรัฐ </t>
  </si>
  <si>
    <t>I</t>
  </si>
  <si>
    <t>บริการที่พักแรมและบริการด้านอาหาร</t>
  </si>
  <si>
    <t>บริการที่พักแรม</t>
  </si>
  <si>
    <t>บริการที่พักแรมระยะสั้น</t>
  </si>
  <si>
    <t>บริการโรงแรมและรีสอร์ท</t>
  </si>
  <si>
    <t>บริการเกสต์เฮ้าส์</t>
  </si>
  <si>
    <t xml:space="preserve">บริการเกสต์เฮ้าส์ </t>
  </si>
  <si>
    <t>บริการที่พักสัมผัสวัฒนธรรมชนบท</t>
  </si>
  <si>
    <t>บริการที่พักแรมระยะสั้นอื่นๆ สำหรับนักเดินทาง/นักท่องเที่ยว</t>
  </si>
  <si>
    <t>บริการที่พักแรมเยาวชนและเคบินในวันหยุด</t>
  </si>
  <si>
    <t>บริการห้องพักประเภทแบ่งเวลา</t>
  </si>
  <si>
    <t>บริการที่พักแรมระยะสั้นอื่นๆ สำหรับนักเดินทาง/นักท่องเที่ยว ซึ่งมิได้จัดประเภทไว้ในที่อื่น</t>
  </si>
  <si>
    <t>บริการลานตั้งค่ายพักแรม ที่จอดรถพ่วง และที่ตั้งที่พักแบบเคลื่อนที่</t>
  </si>
  <si>
    <t xml:space="preserve">บริการสถานที่ตั้งค่ายพักแรม สถานที่จอดรถพ่วง </t>
  </si>
  <si>
    <t xml:space="preserve">บริการของค่ายพักแรมสำหรับวันหยุดและเพื่อการนันทนาการ </t>
  </si>
  <si>
    <t>บริการที่พักแรมประเภทอื่นๆ</t>
  </si>
  <si>
    <t>บริการห้องพักหรือที่พักอาศัยสำหรับนักเรียน/นักศึกษา</t>
  </si>
  <si>
    <t xml:space="preserve">บริการห้องพักหรือที่พักอาศัยสำหรับนักเรียน/นักศึกษา  </t>
  </si>
  <si>
    <t>บริการที่พักแรมประเภทอื่นๆ ซึ่งมิได้จัดประเภทไว้ในที่อื่น</t>
  </si>
  <si>
    <t>บริการที่พักอาศัยหรือค่ายพักสำหรับคนงาน</t>
  </si>
  <si>
    <t>บริการตู้นอนหรือบริการที่คล้ายกันในยานพาหนะอื่นๆ</t>
  </si>
  <si>
    <t>บริการอาหารและเครื่องดื่ม</t>
  </si>
  <si>
    <t>บริการอาหาร</t>
  </si>
  <si>
    <t>บริการอาหารในภัตตาคาร/ร้านอาหาร</t>
  </si>
  <si>
    <t>บริการอาหารในภัตตาคาร/ร้านอาหารที่ให้บริการเต็มรูปแบบ</t>
  </si>
  <si>
    <t xml:space="preserve">บริการอาหารในยานพาหนะ </t>
  </si>
  <si>
    <t>บริการอาหารในร้านแบบบริการตนเอง</t>
  </si>
  <si>
    <t>บริการอาหารบนแผงลอยและตลาด</t>
  </si>
  <si>
    <t>บริการอาหารแบบเคลื่อนที่</t>
  </si>
  <si>
    <t xml:space="preserve">บริการอาหารแบบเคลื่อนที่ </t>
  </si>
  <si>
    <t>บริการจัดเลี้ยงนอกสถานที่และบริการอาหารประเภทอื่นๆ</t>
  </si>
  <si>
    <t>บริการจัดเลี้ยงนอกสถานที่</t>
  </si>
  <si>
    <t>บริการจัดเลี้ยงสำหรับครัวเรือนส่วนบุคคล</t>
  </si>
  <si>
    <t>บริการจัดเลี้ยงนอกสถานที่อื่นๆ</t>
  </si>
  <si>
    <t>บริการอาหารประเภทอื่นๆ</t>
  </si>
  <si>
    <t>บริการอาหารสำหรับธุรกิจขนส่ง</t>
  </si>
  <si>
    <t xml:space="preserve">บริการอาหารสำหรับธุรกิจขนส่ง </t>
  </si>
  <si>
    <t>บริการของโรงอาหาร</t>
  </si>
  <si>
    <t xml:space="preserve">บริการของโรงอาหาร </t>
  </si>
  <si>
    <t>บริการอาหารประเภทอื่นๆ ซึ่งมิได้จัดประเภทไว้ในที่อื่น</t>
  </si>
  <si>
    <t>บริการอาหารประเภทอื่นๆ  ซึ่งมิได้จัดประเภทไว้ในที่อื่น</t>
  </si>
  <si>
    <t>บริการเครื่องดื่ม</t>
  </si>
  <si>
    <t>บริการเครื่องดื่มที่มีแอลกอฮอล์เป็นหลักในร้าน</t>
  </si>
  <si>
    <t>บริการเครื่องดื่มที่ไม่มีแอลกอฮอล์เป็นหลักในร้าน</t>
  </si>
  <si>
    <t xml:space="preserve">บริการเครื่องดื่มที่ไม่มีแอลกอฮอล์เป็นหลักในร้าน    </t>
  </si>
  <si>
    <t>บริการเครื่องดื่มบนแผงลอยและตลาด</t>
  </si>
  <si>
    <t>บริการเครื่องดื่มแบบเคลื่อนที่</t>
  </si>
  <si>
    <t>J</t>
  </si>
  <si>
    <t>บริการข้อมูลข่าวสารและการสื่อสาร</t>
  </si>
  <si>
    <t>บริการจัดพิมพ์จำหน่ายหรือเผยแพร่</t>
  </si>
  <si>
    <t>บริการจัดพิมพ์จำหน่ายหรือเผยแพร่หนังสือ นิตยสาร และงานอื่นๆ</t>
  </si>
  <si>
    <t>บริการจัดพิมพ์จำหน่ายหรือเผยแพร่หนังสือ</t>
  </si>
  <si>
    <t>บริการจัดพิมพ์จำหน่ายหรือเผยแพร่ตำราเรียน พจนานุกรม และสารานุกรม ลงบนสื่อต่างๆ (ยกเว้น ทางออนไลน์)</t>
  </si>
  <si>
    <t>ตำราเรียน พจนานุกรม และสารานุกรมบนสื่อต่างๆ (ยกเว้นทางออนไลน์)</t>
  </si>
  <si>
    <t xml:space="preserve">หนังสือ/ตำราเรียนที่ใช้ในการเรียนการสอนบนสื่อสิ่งพิมพ์ </t>
  </si>
  <si>
    <t xml:space="preserve">หนังสือสำหรับผู้ประกอบวิชาชีพเฉพาะด้านบนสื่อสิ่งพิมพ์ </t>
  </si>
  <si>
    <t xml:space="preserve">หนังสือสำหรับเด็ก (ที่ไม่ใช่ตำราเรียน) บนสื่อสิ่งพิมพ์ </t>
  </si>
  <si>
    <t xml:space="preserve">พจนานุกรมและสารานุกรมบนสื่อสิ่งพิมพ์ </t>
  </si>
  <si>
    <t xml:space="preserve">ตำราเรียน พจนานุกรม และสารานุกรม บนสื่ออิเล็กทรอนิกส์ (ยกเว้นทางออนไลน์)   </t>
  </si>
  <si>
    <t xml:space="preserve">บริการขายพื้นที่โฆษณาในตำราเรียน พจนานุกรม และสารานุกรมบนสื่อต่างๆ (ยกเว้นทางออนไลน์)   </t>
  </si>
  <si>
    <t>บริการขายพื้นที่โฆษณาในตำราเรียน พจนานุกรม และสารานุกรมบนสื่อสิ่งพิมพ์</t>
  </si>
  <si>
    <t xml:space="preserve">บริการขายพื้นที่โฆษณาในตำราเรียน พจนานุกรม และสารานุกรมบนสื่ออิเล็กทรอนิกส์ (ยกเว้นทางออนไลน์)   </t>
  </si>
  <si>
    <t xml:space="preserve">บริการจัดพิมพ์จำหน่ายหรือเผยแพร่ตำราเรียน พจนานุกรม และสารานุกรมบนสื่อต่างๆ (ยกเว้นทางออนไลน์) โดยได้รับค่าตอบแทนหรือตามสัญญาจ้าง </t>
  </si>
  <si>
    <t>บริการจัดพิมพ์จำหน่ายหรือเผยแพร่โบชัวร์ ใบปลิว และสิ่งพิมพ์อื่นๆ ที่คล้ายกัน ลงบนสื่อต่างๆ (ยกเว้นทางออนไลน์)</t>
  </si>
  <si>
    <t>โบรชัวร์ ใบปลิว และสิ่งพิมพ์อื่นๆ ที่คล้ายกัน บนสื่อต่างๆ (ยกเว้นทางออนไลน์)</t>
  </si>
  <si>
    <t xml:space="preserve">แผนที่โลกและสิ่งพิมพ์อื่นๆ ที่มีแผนที่ บนสื่อสิ่งพิมพ์ </t>
  </si>
  <si>
    <t>แผนที่และแผนภูมิทางอุทกศาสตร์หรือที่คล้ายกันบนสื่อสิ่งพิมพ์ (ยกเว้นที่จัดทำในรูปแบบหนังสือ)</t>
  </si>
  <si>
    <t xml:space="preserve">โบรชัวร์ ใบปลิว และสิ่งพิมพ์อื่นๆ ที่คล้ายกัน บนสื่อสิ่งพิมพ์ </t>
  </si>
  <si>
    <t xml:space="preserve">โบรชัวร์ ใบปลิว และสิ่งพิมพ์อื่นๆ ที่คล้ายกัน บนสื่ออิเล็กทรอนิกส์ (ยกเว้นทางออนไลน์)   </t>
  </si>
  <si>
    <t xml:space="preserve">บริการขายพื้นที่โฆษณาในโบรชัวร์ ใบปลิว และสิ่งพิมพ์อื่นๆ ที่คล้ายกัน บนสื่อต่างๆ (ยกเว้นทางออนไลน์)   </t>
  </si>
  <si>
    <t>บริการขายพื้นที่โฆษณาในโบรชัวร์ ใบปลิว และสิ่งพิมพ์อื่นๆ ที่คล้ายกัน บนสื่อสิ่งพิมพ์</t>
  </si>
  <si>
    <t xml:space="preserve">บริการขายพื้นที่โฆษณาในโบรชัวร์ ใบปลิว และสิ่งพิมพ์อื่นๆ ที่คล้ายกัน บนสื่ออิเล็กทรอนิกส์ (ยกเว้นทางออนไลน์)   </t>
  </si>
  <si>
    <t xml:space="preserve">บริการจัดพิมพ์จำหน่ายหรือเผยแพร่โบรชัวร์ ใบปลิว และสิ่งพิมพ์อื่นๆ ที่คล้ายกันบนสื่อต่างๆ (ยกเว้นทางออนไลน์) โดยได้รับค่าตอบแทนหรือตามสัญญาจ้าง </t>
  </si>
  <si>
    <t>บริการจัดพิมพ์จำหน่ายหรือเผยแพร่หนังสือออนไลน์</t>
  </si>
  <si>
    <t xml:space="preserve">หนังสือออนไลน์   </t>
  </si>
  <si>
    <t xml:space="preserve">บริการขายพื้นที่หรือเวลาโฆษณาในหนังสือออนไลน์   </t>
  </si>
  <si>
    <t xml:space="preserve">บริการจัดพิมพ์จำหน่ายหรือเผยแพร่หนังสือออนไลน์ โดยได้รับค่าตอบแทนหรือตามสัญญาจ้าง  </t>
  </si>
  <si>
    <t>บริการดูแลสิทธิในการผลิตซ้ำหนังสือเพื่อจำหน่ายหรือเผยแพร่</t>
  </si>
  <si>
    <t xml:space="preserve">บริการดูแลสิทธิในการผลิตซ้ำหนังสือเพื่อจำหน่ายหรือเผยแพร่   </t>
  </si>
  <si>
    <t>บริการจัดพิมพ์จำหน่ายหรือเผยแพร่นามานุกรมและรายการชื่อ-ที่อยู่ทางไปรษณีย์</t>
  </si>
  <si>
    <t>บริการจัดพิมพ์จำหน่ายหรือเผยแพร่นามานุกรมและรายการชื่อ-ที่อยู่ทางไปรษณีย์ลงบนสื่อต่างๆ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</si>
  <si>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นามานุกรมและรายการชื่อ-ที่อยู่ทางไปรษณีย์ บนสื่อต่างๆ (ยกเว้นทางออนไลน์)</t>
  </si>
  <si>
    <t xml:space="preserve">นามานุกรมและรายการชื่อ-ที่อยู่ทางไปรษณีย์ บนสื่อสิ่งพิมพ์ </t>
  </si>
  <si>
    <t xml:space="preserve">นามานุกรมและรายการชื่อ-ที่อยู่ทางไปรษณีย์ ในรูปแบบตัวหนังสือ บนสื่ออิเล็กทรอนิกส์ (ยกเว้นทางออนไลน์)   </t>
  </si>
  <si>
    <t xml:space="preserve">บริการจัดพิมพ์จำหน่ายหรือเผยแพร่นามานุกรมและรายการชื่อ-ที่อยู่ทางไปรษณีย์บนสื่อต่างๆ (ยกเว้นทางออนไลน์) โดยได้รับค่าตอบแทนหรือตามสัญญาจ้าง  </t>
  </si>
  <si>
    <t xml:space="preserve">บริการดูแลสิทธิในการผลิตซ้ำนามานุกรมและรายการชื่อ-ที่อยู่ทางไปรษณีย์เพื่อจำหน่ายหรือเผยแพร่ บนสื่อต่างๆ (ยกเว้นทางออนไลน์)  </t>
  </si>
  <si>
    <t>บริการจัดพิมพ์จำหน่ายหรือเผยแพร่นามานุกรมและรายการชื่อ-ที่อยู่ทางไปรษณีย์ผ่านทางออนไลน์</t>
  </si>
  <si>
    <t xml:space="preserve">นามานุกรมและรายการชื่อ-ที่อยู่ทางไปรษณีย์ออนไลน์  </t>
  </si>
  <si>
    <t>บริการขายพื้นที่หรือเวลาโฆษณาในนามานุกรมและรายการชื่อ-ที่อยู่ทางไปรษณีย์ออนไลน์</t>
  </si>
  <si>
    <t xml:space="preserve">บริการจัดพิมพ์จำหน่ายหรือเผยแพร่นามานุกรมและรายการชื่อ-ที่อยู่ทางไปรษณีย์ผ่านทางออนไลน์ โดยได้รับค่าตอบแทนหรือตามสัญญาจ้าง  </t>
  </si>
  <si>
    <t>บริการดูแลสิทธิในการผลิตซ้ำนามานุกรมและรายการชื่อ-ที่อยู่ทางไปรษณีย์เพื่อจำหน่ายหรือเผยแพร่ผ่านทางออนไลน์</t>
  </si>
  <si>
    <t xml:space="preserve"> บริการจัดพิมพ์จำหน่ายหรือเผยแพร่หนังสือพิมพ์ วารสาร และนิตยสาร</t>
  </si>
  <si>
    <t>บริการจัดพิมพ์จำหน่ายหรือเผยแพร่หนังสือพิมพ์ลงบนสื่อต่างๆ (ยกเว้นทางออนไลน์)</t>
  </si>
  <si>
    <t xml:space="preserve">หนังสือพิมพ์บนสื่อสิ่งพิมพ์ </t>
  </si>
  <si>
    <t>บริการขายพื้นที่โฆษณาในหนังสือพิมพ์บนสื่อสิ่งพิมพ์</t>
  </si>
  <si>
    <t xml:space="preserve">บริการจัดพิมพ์จำหน่ายหรือเผยแพร่หนังสือพิมพ์บนสื่อสิ่งพิมพ์ โดยได้รับค่าตอบแทนหรือตามสัญญาจ้าง  </t>
  </si>
  <si>
    <t>บริการจัดพิมพ์จำหน่ายหรือเผยแพร่วารสารและนิตยสารลงบนสื่อต่างๆ (ยกเว้นทางออนไลน์)</t>
  </si>
  <si>
    <t xml:space="preserve">วารสารและนิตยสารบนสื่อสิ่งพิมพ์ </t>
  </si>
  <si>
    <t xml:space="preserve">วารสารและนิตยสารในเรื่องทั่วไปที่น่าสนใจ บนสื่อสิ่งพิมพ์ </t>
  </si>
  <si>
    <t>วารสารและนิตยสารทางด้านการค้า วิชาชีพ และวิชาการ บนสื่อสิ่งพิมพ์</t>
  </si>
  <si>
    <t xml:space="preserve">วารสารและนิตยสารอื่นๆ บนสื่อสิ่งพิมพ์ </t>
  </si>
  <si>
    <t>บริการขายพื้นที่โฆษณาในวารสารและนิตยสารลงบนสื่อสิ่งพิมพ์</t>
  </si>
  <si>
    <t xml:space="preserve">บริการจัดพิมพ์จำหน่ายหรือเผยแพร่วารสารและนิตยสารบนสื่อสิ่งพิมพ์ โดยได้รับค่าตอบแทนหรือตามสัญญาจ้าง  </t>
  </si>
  <si>
    <t>บริการจัดพิมพ์จำหน่ายหรือเผยแพร่หนังสือพิมพ์ วารสาร และนิตยสาร ออนไลน์</t>
  </si>
  <si>
    <t>หนังสือพิมพ์ วารสาร และนิตยสารออนไลน์</t>
  </si>
  <si>
    <t xml:space="preserve">หนังสือพิมพ์ออนไลน์   </t>
  </si>
  <si>
    <t xml:space="preserve">วารสารและนิตยสารออนไลน์   </t>
  </si>
  <si>
    <t>บริการขายพื้นที่หรือเวลาโฆษณาในหนังสือพิมพ์ วารสาร และนิตยสารออนไลน์</t>
  </si>
  <si>
    <t>บริการขายพื้นที่หรือเวลาโฆษณาในหนังสือพิมพ์ออนไลน์</t>
  </si>
  <si>
    <t>บริการขายพื้นที่หรือเวลาโฆษณาในวารสารและนิตยสารออนไลน์</t>
  </si>
  <si>
    <t>บริการจัดพิมพ์จำหน่ายหรือเผยแพร่วารสารและนิตยสารผ่านทางออนไลน์ โดยได้รับค่าตอบแทนหรือตามสัญญาจ้าง</t>
  </si>
  <si>
    <t>บริการดูแลสิทธิในการผลิตซ้ำหนังสือพิมพ์ วารสาร และนิตยสาร เพื่อจำหน่ายหรือเผยแพร่</t>
  </si>
  <si>
    <t xml:space="preserve">บริการดูแลสิทธิในการผลิตซ้ำหนังสือพิมพ์ วารสาร และนิตยสาร เพื่อจำหน่ายหรือเผยแพร่   </t>
  </si>
  <si>
    <t>บริการจัดพิมพ์จำหน่ายหรือเผยแพร่งานอื่นๆ</t>
  </si>
  <si>
    <t>บริการจัดพิมพ์จำหน่ายหรือเผยแพร่งานอื่นๆ ลงบนสื่อต่างๆ (ยกเว้นทางออนไลน์)</t>
  </si>
  <si>
    <t xml:space="preserve">งานอื่นๆ บนสื่อสิ่งพิมพ์ </t>
  </si>
  <si>
    <t>ไปรษณียบัตรที่มีข้อความหรือมีภาพประกอบ การ์ดที่มีข้อความอวยพร แจ้งข่าว หรือประกาศ จะมีภาพประกอบ มีซองหรือสิ่งตกแต่งหรือไม่ก็ตาม บนสื่อสิ่งพิมพ์</t>
  </si>
  <si>
    <t xml:space="preserve">รูปภาพ ภาพดีไซน์ ภาพโปสเตอร์และภาพถ่ายบนสื่อสิ่งพิมพ์ </t>
  </si>
  <si>
    <t xml:space="preserve">รูปลอก ปฏิทินบนสื่อสิ่งพิมพ์ </t>
  </si>
  <si>
    <t xml:space="preserve">ไปรษณียากร อากรแสตมป์หรือแสตมป์ที่คล้ายกันที่ยังไม่ขีดฆ่า ทั้งชนิดที่ใช้อยู่ในปัจจุบันหรือที่ออกใช้ใหม่ในประเทศ ซึ่งมีหรือจะมีราคาตามที่กำหนดไว้หน้าแสตมป์ กระดาษที่มีตราแสตมป์ ธนบัตร สมุดเช็ค ใบสต๊อก ใบหุ้น หรือพันธบัตร และใบเอกสารสิทธิ์ที่คล้ายกัน </t>
  </si>
  <si>
    <t xml:space="preserve">สิ่งพิมพ์โฆษณาทางการค้า แคตตาล๊อกทางการค้า และของที่คล้ายกันบนสื่อสิ่งพิมพ์ </t>
  </si>
  <si>
    <t>บริการขายพื้นที่โฆษณาในงานอื่นๆบนสื่อสิ่งพิมพ์</t>
  </si>
  <si>
    <t xml:space="preserve">บริการจัดพิมพ์จำหน่ายหรือเผยแพร่งานอื่นๆ บนสื่อสิ่งพิมพ์บนสื่อต่างๆ (ยกเว้นทางออนไลน์)  โดยได้รับค่าตอบแทนหรือตามสัญญาจ้าง </t>
  </si>
  <si>
    <t>บริการจัดพิมพ์จำหน่ายหรือเผยแพร่งานอื่นๆ ผ่านทางออนไลน์</t>
  </si>
  <si>
    <t xml:space="preserve">เนื้อหาสำหรับผู้ใหญ่ออนไลน์  </t>
  </si>
  <si>
    <t xml:space="preserve">งานอื่นๆ ออนไลน์  </t>
  </si>
  <si>
    <t>บริการขายพื้นที่หรือเวลาโฆษณาในงานอื่นๆ ผ่านทางออนไลน์</t>
  </si>
  <si>
    <t xml:space="preserve">บริการจัดพิมพ์จำหน่ายหรือเผยแพร่งานอื่นๆ บนสื่อสิ่งพิมพ์ผ่านทางออนไลน์ โดยได้รับค่าตอบแทนหรือตามสัญญาจ้าง </t>
  </si>
  <si>
    <t>บริการดูแลสิทธิในการผลิตซ้ำงานอื่นๆ เพื่อจำหน่ายหรือเผยแพร่</t>
  </si>
  <si>
    <t xml:space="preserve">บริการดูแลสิทธิในการผลิตซ้ำงานอื่นๆ เพื่อจำหน่ายหรือเผยแพร่   </t>
  </si>
  <si>
    <t>บริการจัดทำซอฟต์แวร์สำเร็จรูป</t>
  </si>
  <si>
    <t>บริการจัดทำซอฟต์แวร์เกมสำเร็จรูป</t>
  </si>
  <si>
    <t>ซอฟต์แวร์เกมสำเร็จรูป</t>
  </si>
  <si>
    <t xml:space="preserve">ซอฟต์แวร์เกมสำเร็จรูปบนสื่อบันทึก  </t>
  </si>
  <si>
    <t xml:space="preserve">ซอฟต์แวร์เกมสำเร็จรูปที่ได้จากการดาวน์โหลด </t>
  </si>
  <si>
    <t xml:space="preserve">ซอฟต์แวร์เกมออนไลน์ </t>
  </si>
  <si>
    <t>ซอฟแวร์เกมที่บรรจุในตลับสำหรับเครื่องเล่นวิดีโอเกม</t>
  </si>
  <si>
    <t xml:space="preserve">ต้นฉบับซอฟต์แวร์เกมสำเร็จรูป  </t>
  </si>
  <si>
    <t>บริการจัดทำซอฟต์แวร์สำเร็จรูป (ยกเว้นซอฟต์แวร์เกมสำเร็จรูป)</t>
  </si>
  <si>
    <t xml:space="preserve">ซอฟต์แวร์ระบบบนสื่อบันทึก </t>
  </si>
  <si>
    <t>ซอฟต์แวร์ระบบปฏิบัติการบนสื่อบันทึก</t>
  </si>
  <si>
    <t>ซอฟต์แวร์ระบบเครือข่ายบนสื่อบันทึก</t>
  </si>
  <si>
    <t>ซอฟต์แวร์จัดการฐานข้อมูลบนสื่อบันทึก</t>
  </si>
  <si>
    <t>ซอฟต์แวร์ที่เป็นเครื่องมือในการพัฒนาโปรแกรมและภาษาชุดคำสั่งบนสื่อบันทึก</t>
  </si>
  <si>
    <t xml:space="preserve">ซอฟต์แวร์ประยุกต์บนสื่อบันทึก </t>
  </si>
  <si>
    <t>ซอฟต์แวร์ประยุกต์ทั่วไปที่ใช้ในทางธุรกิจหรือในบ้านบนสื่อบันทึก</t>
  </si>
  <si>
    <t xml:space="preserve">ซอฟต์แวร์ประยุกต์อื่นๆ บนสื่อบันทึก </t>
  </si>
  <si>
    <t>ซอฟต์แวร์ที่ได้จากการดาวน์โหลด (ยกเว้นซอฟต์แวร์เกมสำเร็จรูป)</t>
  </si>
  <si>
    <t>ซอฟต์แวร์ระบบที่ได้จากการดาวน์โหลด</t>
  </si>
  <si>
    <t>ซอฟต์แวร์ประยุกต์ที่ได้จากการดาวน์โหลด</t>
  </si>
  <si>
    <t>ซอฟต์แวร์สำเร็จรูป (ยกเว้นซอฟต์แวร์เกมสำเร็จรูป) ที่ใช้งานผ่านระบบออนไลน์</t>
  </si>
  <si>
    <t>ต้นฉบับซอฟต์แวร์สำเร็จรูป (ยกเว้นซอฟต์แวร์เกมสำเร็จรูป)</t>
  </si>
  <si>
    <t>บริการดูแลสิทธิในการผลิตซ้ำซอฟต์แวร์สำเร็จรูปเพื่อจำหน่ายหรือเผยแพร่</t>
  </si>
  <si>
    <t xml:space="preserve">บริการดูแลสิทธิในการผลิตซ้ำซอฟต์แวร์สำเร็จรูปเพื่อจำหน่ายหรือเผยแพร่   </t>
  </si>
  <si>
    <t xml:space="preserve">บริการดูแลสิทธิในการผลิตซ้ำซอฟต์แวร์เกมส์สำเร็จรูปเพื่อจำหน่ายหรือเผยแพร่   </t>
  </si>
  <si>
    <t xml:space="preserve">บริการดูแลสิทธิในการผลิตซ้ำซอฟต์แวร์สำเร็จรูป (ยกเว้นซอฟต์แวร์เกมสำเร็จรูป) เพื่อจำหน่ายหรือเผยแพร่   </t>
  </si>
  <si>
    <t>บริการผลิตภาพยนตร์ วีดิทัศน์ และรายการโทรทัศน์ บริการบันทึกเสียงลงบนสื่อ และบริการจัดพิมพ์จำหน่ายหรือเผยแพร่ดนตรี</t>
  </si>
  <si>
    <t>บริการที่เกี่ยวข้องกับภาพยนตร์ วีดิทัศน์ และรายการโทรทัศน์</t>
  </si>
  <si>
    <t>บริการผลิตภาพยนตร์ วีดิทัศน์ และรายการโทรทัศน์</t>
  </si>
  <si>
    <t>บริการผลิตภาพยนตร์และวีดิทัศน์</t>
  </si>
  <si>
    <t xml:space="preserve">บริการผลิตภาพยนตร์ </t>
  </si>
  <si>
    <t xml:space="preserve">บริการผลิตภาพยนตร์และวีดิทัศน์เพื่อการโฆษณาหรือส่งเสริมการขาย   </t>
  </si>
  <si>
    <t xml:space="preserve">ภาพยนตร์และวีดิทัศน์  </t>
  </si>
  <si>
    <t>ต้นฉบับภาพยนตร์และวีดิทัศน์</t>
  </si>
  <si>
    <t>ฟิล์มภาพยนตร์</t>
  </si>
  <si>
    <t>ภาพยนตร์และเนื้อหาในวีดิทัศน์บนสื่อบันทึก</t>
  </si>
  <si>
    <t>ภาพยนตร์และวีดิทัศน์ที่ได้จากการดาวน์โหลด</t>
  </si>
  <si>
    <t xml:space="preserve">บริการขายพื้นที่หรือเวลาโฆษณาในภาพยนตร์และวีดิทัศน์ </t>
  </si>
  <si>
    <t>บริการผลิตรายการโทรทัศน์</t>
  </si>
  <si>
    <t>รายการโทรทัศน์</t>
  </si>
  <si>
    <t>ต้นฉบับรายการโทรทัศน์</t>
  </si>
  <si>
    <t>เนื้อหารายการโทรทัศน์บนสื่อบันทึก</t>
  </si>
  <si>
    <t>รายการโทรทัศน์ที่ได้จากการดาวน์โหลด</t>
  </si>
  <si>
    <t>บริการขายพื้นที่หรือเวลาโฆษณาในรายการโทรทัศน์</t>
  </si>
  <si>
    <t>บริการภายหลังการผลิตภาพยนตร์ วิดีทัศน์ และรายการโทรทัศน์</t>
  </si>
  <si>
    <t>บริการตัดต่อภาพและเสียง</t>
  </si>
  <si>
    <t xml:space="preserve">บริการตัดต่อภาพและเสียง   </t>
  </si>
  <si>
    <t>บริการตัดต่อและออกแบบเสียง</t>
  </si>
  <si>
    <t>บริการทำคอมพิวเตอร์กราฟฟิก แอนิเมชั่น และเทคนิคพิเศษ</t>
  </si>
  <si>
    <t xml:space="preserve">บริการทำคอมพิวเตอร์กราฟฟิก แอนิเมชั่น และเทคนิคพิเศษ   </t>
  </si>
  <si>
    <t xml:space="preserve">บริการปรับเปลี่ยนสีภาพและปรับแต่งฟิล์มภาพยนตร์ วีดิทัศน์ หรือ สื่อดิจิทัลให้ดีขึ้น  </t>
  </si>
  <si>
    <t xml:space="preserve">บริการทำเทคนิคพิเศษสำหรับฟิล์มภาพยนตร์ วีดิทัศน์ หรือสื่อดิจิทัล </t>
  </si>
  <si>
    <t>บริการทำภาพเคลื่อนไหว</t>
  </si>
  <si>
    <t>บริการอื่นๆ ภายหลังการผลิตภาพยนตร์ วีดิทัศน์ และรายการโทรทัศน์</t>
  </si>
  <si>
    <t>บริการอื่นๆ ภายหลังผลิตภาพยนตร์ วีดิทัศน์ และรายการโทรทัศน์</t>
  </si>
  <si>
    <t>บริการแปลงรูปแบบของงานภาพยนตร์ วีดิทัศน์ และรายการโทรทัศน์ และบริการทำสำเนาต้นฉบับใหม่</t>
  </si>
  <si>
    <t xml:space="preserve">บริการใส่คำบรรยายภาพ ภาพไตเติ้ล และบทบรรยายภาพ  </t>
  </si>
  <si>
    <t>บริการอื่นๆ ภายหลังการผลิตภาพยนตร์ วีดิทัศน์ และรายการโทรทัศน์ ซึ่งมิได้จัดประเภทไว้ในที่อื่น</t>
  </si>
  <si>
    <t>บริการเผยแพร่ภาพยนตร์ วีดิทัศน์ และรายการโทรทัศน์</t>
  </si>
  <si>
    <t>บริการดูแลสิทธิในการผลิตซ้ำภาพยนตร์ วีดิทัศน์ และรายการโทรทัศน์ เพื่อจำหน่ายหรือเผยแพร่</t>
  </si>
  <si>
    <t>บริการฉายภาพยนตร์</t>
  </si>
  <si>
    <t>บริการบันทึกเสียงลงบนสื่อและบริการจัดพิมพ์จำหน่ายหรือเผยแพร่ดนตรี</t>
  </si>
  <si>
    <t>บริการบันทึกเสียงลงบนสื่อ</t>
  </si>
  <si>
    <t>บริการบันทึกเสียงลงบนสื่อ บริการบันทึกเสียงสด และต้นฉบับเสียงบันทึก</t>
  </si>
  <si>
    <t xml:space="preserve">บริการบันทึกเสียงลงบนสื่อ   </t>
  </si>
  <si>
    <t>บริการบันทึกเสียงสด</t>
  </si>
  <si>
    <t xml:space="preserve">ต้นฉบับเสียงบันทึก  </t>
  </si>
  <si>
    <t>บริการผลิตรายการวิทยุ (ไม่ใช่รายการสด) และต้นฉบับรายการวิทยุ</t>
  </si>
  <si>
    <t>บริการผลิตรายการวิทยุ (ไม่ใช่รายการสด)</t>
  </si>
  <si>
    <t>ต้นฉบับรายการวิทยุ</t>
  </si>
  <si>
    <t>เสียง (ยกเว้นดนตรี) บนสื่อบันทึก</t>
  </si>
  <si>
    <t>บริการจัดพิมพ์จำหน่ายหรือเผยแพร่ดนตรี</t>
  </si>
  <si>
    <t>ดนตรีบนสื่อสิ่งพิมพ์</t>
  </si>
  <si>
    <t>ดนตรีบนสื่อสิ่งพิมพ์หรือต้นฉบับที่เขียนหรือพิมพ์</t>
  </si>
  <si>
    <t>โน้ตเพลงอิเล็กทรอนิกส์</t>
  </si>
  <si>
    <t>ดนตรีบนสื่อบันทึก</t>
  </si>
  <si>
    <t>ดนตรีที่ได้จากการดาวน์โหลด</t>
  </si>
  <si>
    <t>บริการดูแลสิทธิในการผลิตซ้ำดนตรี เพื่อจำหน่ายหรือเผยแพร่</t>
  </si>
  <si>
    <t xml:space="preserve">บริการดูแลสิทธิในการผลิตซ้ำดนตรี เพื่อจำหน่ายหรือเผยแพร่   </t>
  </si>
  <si>
    <t>บริการจัดผังรายการและการแพร่ภาพกระจายเสียง</t>
  </si>
  <si>
    <t>บริการออกอากาศทางวิทยุกระจายเสียง</t>
  </si>
  <si>
    <t>บริการออกอากาศทางวิทยุกระจายเสียง (ยกเว้นทางออนไลน์)</t>
  </si>
  <si>
    <t xml:space="preserve">บริการออกอากาศทางวิทยุกระจายเสียงและต้นฉบับที่ออกอากาศทางวิทยุกระจายเสียง (ยกเว้นทางออนไลน์)   </t>
  </si>
  <si>
    <t xml:space="preserve">บริการออกอากาศทางวิทยุกระจายเสียง (ยกเว้นทางออนไลน์)   </t>
  </si>
  <si>
    <t xml:space="preserve">ต้นฉบับที่ออกอากาศทางวิทยุกระจายเสียง (ยกเว้นทางออนไลน์)   </t>
  </si>
  <si>
    <t xml:space="preserve">รายการคลื่นวิทยุ (ยกเว้นทางออนไลน์)   </t>
  </si>
  <si>
    <t>รายการคลื่นวิทยุ (ยกเว้นทางออนไลน์)</t>
  </si>
  <si>
    <t xml:space="preserve">บริการขายเวลาโฆษณาทางวิทยุ (ยกเว้นทางออนไลน์)   </t>
  </si>
  <si>
    <t>บริการออกอากาศทางวิทยุกระจายเสียงผ่านทางออนไลน์</t>
  </si>
  <si>
    <t xml:space="preserve">บริการออกอากาศทางวิทยุกระจายเสียงและต้นฉบับที่ออกอากาศทางวิทยุกระจายเสียงผ่านทางออนไลน์   </t>
  </si>
  <si>
    <t xml:space="preserve">บริการออกอากาศทางวิทยุกระจายเสียงผ่านทางออนไลน์   </t>
  </si>
  <si>
    <t xml:space="preserve">ต้นฉบับที่ออกอากาศทางวิทยุกระจายเสียงผ่านทางออนไลน์   </t>
  </si>
  <si>
    <t xml:space="preserve">รายการคลื่นวิทยุผ่านทางออนไลน์   </t>
  </si>
  <si>
    <t xml:space="preserve">บริการขายเวลาโฆษณาทางวิทยุผ่านทางออนไลน์   </t>
  </si>
  <si>
    <t>บริการจัดผังรายการและแพร่ภาพกระจายเสียงทางโทรทัศน์</t>
  </si>
  <si>
    <t>บริการจัดผังรายการและแพร่ภาพกระจายเสียงทางโทรทัศน์ โดยไม่ต้องสมัครสมาชิก (ยกเว้นทาง ออนไลน์)</t>
  </si>
  <si>
    <t xml:space="preserve">บริการจัดผังรายการและการแพร่ภาพกระจายเสียงทางโทรทัศน์ โดยไม่ต้องสมัครสมาชิก (ยกเว้นทางออนไลน์)  </t>
  </si>
  <si>
    <t xml:space="preserve">ต้นฉบับรายการโทรทัศน์แพร่ภาพกระจายเสียงโดยไม่ต้องสมัครสมาชิก (ยกเว้นทางออนไลน์)  </t>
  </si>
  <si>
    <t xml:space="preserve">ผังรายการโทรทัศน์โดยไม่ต้องสมัครสมาชิก (ยกเว้นทางออนไลน์)  </t>
  </si>
  <si>
    <t xml:space="preserve">บริการขายเวลาโฆษณาทางโทรทัศน์โดยไม่ต้องสมัครสมาชิก (ยกเว้นทางออนไลน์)  </t>
  </si>
  <si>
    <t>บริการจัดผังรายการและแพร่ภาพกระจายเสียงทางโทรทัศน์ โดยสมัครสมาชิก (ยกเว้นทางออนไลน์)</t>
  </si>
  <si>
    <t>บริการจัดผังรายการและการแพร่ภาพกระจายเสียงทางโทรทัศน์ โดยสมัครสมาชิก (ยกเว้นทางออนไลน์)</t>
  </si>
  <si>
    <t xml:space="preserve">ต้นฉบับรายการโทรทัศน์แพร่ภาพกระจายเสียงโดยสมัครสมาชิก (ยกเว้นทางออนไลน์)  </t>
  </si>
  <si>
    <t xml:space="preserve">ผังรายการโทรทัศน์โดยสมัครสมาชิก (ยกเว้นทางออนไลน์)  </t>
  </si>
  <si>
    <t xml:space="preserve">บริการขายเวลาโฆษณาทางโทรทัศน์โดยสมัครสมาชิก (ยกเว้นทางออนไลน์)  </t>
  </si>
  <si>
    <t>บริการจัดผังรายการและการแพร่ภาพกระจายเสียงทางโทรทัศน์ผ่านทางออนไลน์</t>
  </si>
  <si>
    <t xml:space="preserve">บริการจัดผังรายการและการแพร่ภาพกระจายเสียงทางโทรทัศน์ ผ่านทางออนไลน์   </t>
  </si>
  <si>
    <t xml:space="preserve">บริการจัดผังรายการและการแพร่ภาพกระจายเสียงทางโทรทัศน์ผ่านทางออนไลน์ โดยไม่ต้องสมัครสมาชิก   </t>
  </si>
  <si>
    <t xml:space="preserve">บริการจัดผังรายการและการแพร่ภาพกระจายเสียงทางโทรทัศน์ผ่านทางออนไลน์ โดยต้องสมัครสมาชิก   </t>
  </si>
  <si>
    <t xml:space="preserve">ต้นฉบับรายการโทรทัศน์แพร่ภาพกระจายเสียงผ่านทางออนไลน์ </t>
  </si>
  <si>
    <t>ผังรายการโทรทัศน์ผ่านทางออนไลน์</t>
  </si>
  <si>
    <t>ผังรายการโทรทัศน์โดยไม่ต้องสมัครสมาชิกผ่านทางออนไลน์</t>
  </si>
  <si>
    <t>ผังรายการโทรทัศน์โดยสมัครสมาชิกผ่านทางออนไลน์</t>
  </si>
  <si>
    <t xml:space="preserve">บริการขายพื้นที่และเวลาโฆษณาทางโทรทัศน์ผ่านทางออนไลน์   </t>
  </si>
  <si>
    <t>บริการโทรคมนาคม</t>
  </si>
  <si>
    <t>บริการโทรคมนาคมแบบใช้สาย</t>
  </si>
  <si>
    <t>บริการอินเทอร์เน็ตแบบใช้สาย</t>
  </si>
  <si>
    <t>บริการเครือข่ายหลักของระบบอินเทอร์เน็ต</t>
  </si>
  <si>
    <t>บริการระบบอินเทอร์เน็ตความเร็วต่ำผ่านเครือข่ายแบบใช้สาย</t>
  </si>
  <si>
    <t>บริการระบบอินเทอร์เน็ตความเร็วสูงผ่านเครือข่ายแบบใช้สาย</t>
  </si>
  <si>
    <t>บริการอินเทอร์เน็ตอื่นๆ แบบใช้สาย</t>
  </si>
  <si>
    <t>บริการจัดส่งรายการโทรทัศน์/วิทยุผ่านสายเคเบิล</t>
  </si>
  <si>
    <t xml:space="preserve">บริการจัดส่งรายการโทรทัศน์/วิทยุแพ็คเกจปกติไปยังสมาชิก ผ่านระบบโทรคมนาคมแบบใช้สาย </t>
  </si>
  <si>
    <t xml:space="preserve">บริการจัดส่งรายการโทรทัศน์/วิทยุแพ็คเกจพิเศษไปยังสมาชิก ผ่านระบบโทรคมนาคมแบบใช้สาย </t>
  </si>
  <si>
    <t>บริการจัดส่งรายการโทรทัศน์/วิทยุโดยชำระเงินต่อครั้งเพื่อรับบริการ ผ่านระบบโทรคมนาคมแบบใช้สาย</t>
  </si>
  <si>
    <t>บริการโทรคมนาคมอื่นๆ แบบใช้สาย</t>
  </si>
  <si>
    <t>บริการระบบโทรศัพท์พื้นฐานในส่วนของบริการรับสายและโทรออก</t>
  </si>
  <si>
    <t>บริการระบบโทรศัพท์พื้นฐาน (ยกเว้นบริการรับสายและโทรออก)</t>
  </si>
  <si>
    <t>บริการระบบเครือข่ายพื้นฐานโทรคมนาคมส่วนบุคคลแบบใช้สาย</t>
  </si>
  <si>
    <t>บริการสื่อสัญญาณเครือข่ายพื้นฐานโทรคมนาคมแบบใช้สาย</t>
  </si>
  <si>
    <t>บริการส่งข้อมูลผ่านระบบเครือข่ายแบบใช้สาย</t>
  </si>
  <si>
    <t>บริการโทรคมนาคมแบบไร้สาย</t>
  </si>
  <si>
    <t>บริการระบบโทรศัพท์เคลื่อนที่</t>
  </si>
  <si>
    <t xml:space="preserve">บริการระบบโทรศัพท์เคลื่อนที่  </t>
  </si>
  <si>
    <t>บริการระบบโทรศัพท์เคลื่อนที่ในส่วนของบริการรับสายและโทรออก</t>
  </si>
  <si>
    <t>บริการระบบโทรศัพท์เคลื่อนที่ (ยกเว้นบริการรับสายและโทรออก)</t>
  </si>
  <si>
    <t>บริการอินเทอร์เน็ตแบบไร้สาย</t>
  </si>
  <si>
    <t xml:space="preserve">บริการอินเทอร์เน็ตแบบไร้สาย   </t>
  </si>
  <si>
    <t>บริการระบบอินเทอร์เน็ตความเร็วต่ำผ่านเครือข่ายแบบไร้สาย</t>
  </si>
  <si>
    <t>บริการระบบอินเทอร์เน็ตความเร็วสูงผ่านเครือข่ายแบบไร้สาย</t>
  </si>
  <si>
    <t xml:space="preserve">บริการอินเทอร์เน็ตอื่นๆ แบบไร้สาย   </t>
  </si>
  <si>
    <t>บริการโทรคมนาคมอื่นๆ แบบไร้สาย</t>
  </si>
  <si>
    <t>บริการระบบเครือข่ายพื้นฐานโทรคมนาคมส่วนบุคคลแบบไร้สาย</t>
  </si>
  <si>
    <t>บริการสื่อสัญญาณเครือข่ายพื้นฐานโทรคมนาคมแบบไร้สาย</t>
  </si>
  <si>
    <t>บริการส่งข้อมูลผ่านระบบเครือข่ายแบบไร้สาย</t>
  </si>
  <si>
    <t xml:space="preserve">บริการจัดส่งรายการโทรทัศน์/วิทยุผ่านระบบโทรคมนาคมแบบไร้สาย </t>
  </si>
  <si>
    <t xml:space="preserve">บริการจัดส่งรายการโทรทัศน์/วิทยุแพ็คเกจปกติไปยังสมาชิกผ่านระบบโทรคมนาคมแบบไร้สาย </t>
  </si>
  <si>
    <t xml:space="preserve">บริการจัดส่งรายการโทรทัศน์/วิทยุแพ็จเกจพิเศษไปยังสมาชิกผ่านระบบโทรคมนาคมแบบไร้สาย </t>
  </si>
  <si>
    <t>บริการจัดส่งรายการโทรทัศน์/วิทยุโดยชำระเงินต่อครั้งเพื่อรับบริการ ผ่านระบบโทรคมนาคมแบบไร้สาย</t>
  </si>
  <si>
    <t>บริการโทรคมนาคมผ่านดาวเทียม</t>
  </si>
  <si>
    <t>บริการจัดส่งรายการโทรทัศน์/วิทยุผ่านดาวเทียม</t>
  </si>
  <si>
    <t xml:space="preserve">บริการจัดส่งรายการโทรทัศน์/วิทยุผ่านดาวเทียม   </t>
  </si>
  <si>
    <t>บริการจัดส่งรายการโทรทัศน์/วิทยุแพ็คเกจปกติไปยังสมาชิกผ่านดาวเทียม</t>
  </si>
  <si>
    <t xml:space="preserve">บริการจัดส่งรายการโทรทัศน์/วิทยุแพ็คเกจพิเศษไปยังสมาชิก ผ่านดาวเทียม   </t>
  </si>
  <si>
    <t xml:space="preserve">บริการจัดส่งรายการโทรทัศน์/วิทยุโดยชำระเงินต่อครั้งเพื่อรับบริการ ผ่านดาวเทียม   </t>
  </si>
  <si>
    <t>บริการโทรคมนาคมผ่านดาวเทียม (ยกเว้นบริการจัดส่งรายการโทรทัศน์/วิทยุผ่านดาวเทียม)</t>
  </si>
  <si>
    <t xml:space="preserve">บริการโทรคมนาคมผ่านดาวเทียม (ยกเว้นบริการจัดส่งรายการโทรทัศน์/วิทยุผ่านดาวเทียม)   </t>
  </si>
  <si>
    <t>บริการโทรคมนาคมอื่นๆ</t>
  </si>
  <si>
    <t xml:space="preserve">บริการโทรคมนาคมอื่นๆ  </t>
  </si>
  <si>
    <t>บริการจัดทำโปรแกรมคอมพิวเตอร์ บริการให้คำปรึกษาเกี่ยวกับคอมพิวเตอร์ และบริการที่เกี่ยวข้อง</t>
  </si>
  <si>
    <t>บริการจัดทำโปรแกรมคอมพิวเตอร์ตามวัตถุประสงค์ของผู้ใช้</t>
  </si>
  <si>
    <t>บริการจัดทำโปรแกรมเว็บเพจและเครือข่ายตามวัตถุประสงค์ของผู้ใช้</t>
  </si>
  <si>
    <t>บริการออกแบบและพัฒนาเทคโนโลยีสารสนเทศด้านโปรแกรมเว็บเพจ</t>
  </si>
  <si>
    <t>บริการออกแบบและพัฒนาเทคโนโลยีสารสนเทศด้านระบบและเครือข่าย</t>
  </si>
  <si>
    <t>ต้นฉบับโปรแกรมเว็บเพจและเครือข่ายตามวัตถุประสงค์ของผู้ใช้</t>
  </si>
  <si>
    <t>บริการจัดทำโปรแกรมคอมพิวเตอร์ตามวัตถุประสงค์ของผู้ใช้ (ยกเว้นโปรแกรมเว็บเพจและเครือข่าย)</t>
  </si>
  <si>
    <t>บริการออกแบบและพัฒนาเทคโนโลยีสารสนเทศด้านโปรแกรมคอมพิวเตอร์ (ยกเว้นโปรแกรมเว็บเพจและเครือข่าย)</t>
  </si>
  <si>
    <t>ต้นฉบับโปรแกรมคอมพิวเตอร์ตามวัตถุประสงค์ของผู้ใช้ (ยกเว้นโปรแกรมเว็บเพจและเครือข่าย)</t>
  </si>
  <si>
    <t>บริการให้คำปรึกษาเกี่ยวกับคอมพิวเตอร์และบริการจัดการสิ่งอำนวยความสะดวกด้านคอมพิวเตอร์</t>
  </si>
  <si>
    <t>บริการให้คำปรึกษาด้านฮาร์ดแวร์</t>
  </si>
  <si>
    <t xml:space="preserve">บริการให้คำปรึกษาด้านฮาร์ดแวร์   </t>
  </si>
  <si>
    <t xml:space="preserve">บริการสนับสนุนทางเทคนิคด้านเทคโนโลยีสารสนเทศด้านฮาร์ดแวร์   </t>
  </si>
  <si>
    <t>บริการให้คำปรึกษาด้านซอฟต์แวร์</t>
  </si>
  <si>
    <t xml:space="preserve">บริการให้คำปรึกษาด้านซอฟต์แวร์  </t>
  </si>
  <si>
    <t xml:space="preserve">บริการสนับสนุนทางเทคนิคด้านเทคโนโลยีสารสนเทศด้านซอฟต์แวร์  </t>
  </si>
  <si>
    <t>บริการจัดการสิ่งอำนวยความสะดวกด้านคอมพิวเตอร์</t>
  </si>
  <si>
    <t xml:space="preserve">บริการจัดการสิ่งอำนวยความสะดวกด้านคอมพิวเตอร์   </t>
  </si>
  <si>
    <t>บริการจัดการระบบเครือข่าย</t>
  </si>
  <si>
    <t>บริการจัดการระบบคอมพิวเตอร์</t>
  </si>
  <si>
    <t>บริการเทคโนโลยีสารสนเทศและคอมพิวเตอร์อื่นๆ</t>
  </si>
  <si>
    <t>บริการติดตั้งคอมพิวเตอร์และอุปกรณ์ต่อพ่วง</t>
  </si>
  <si>
    <t xml:space="preserve">บริการเทคโนโลยีสารสนเทศและคอมพิวเตอร์อื่นๆ ซึ่งมิได้จัดประเภทไว้ในที่อื่น </t>
  </si>
  <si>
    <t>บริการสารสนเทศ</t>
  </si>
  <si>
    <t>บริการประมวลผลข้อมูล บริการจัดการและให้เช่าพื้นที่บนเครื่องแม่ข่าย และบริการที่เกี่ยวข้อง รวมถึง เว็บท่า</t>
  </si>
  <si>
    <t>บริการประมวลผลข้อมูล บริการจัดการและให้เช่าพื้นที่บนเครื่องแม่ข่าย และบริการที่เกี่ยวข้อง</t>
  </si>
  <si>
    <t>บริการบริหารจัดการและประมวลผลข้อมูล</t>
  </si>
  <si>
    <t xml:space="preserve">บริการบริหารจัดการและประมวลผลข้อมูล  </t>
  </si>
  <si>
    <t>บริการจัดการและให้เช่าพื้นที่บนเครื่องแม่ข่าย</t>
  </si>
  <si>
    <t xml:space="preserve">บริการจัดการและให้เช่าพื้นที่บนเครื่องแม่ข่าย  </t>
  </si>
  <si>
    <t>บริการโปรแกรมประยุกต์</t>
  </si>
  <si>
    <t>บริการโครงสร้างพื้นฐานด้านเทคโนโลยีสารสนเทศอื่นๆ</t>
  </si>
  <si>
    <t xml:space="preserve">เนื้อหาวีดิทัศน์และเสียงแบบสายธาร </t>
  </si>
  <si>
    <t>เนื้อหาวีดิทัศน์แบบสายธาร</t>
  </si>
  <si>
    <t>เนื้อหาเสียงแบบสายธาร</t>
  </si>
  <si>
    <t>บริการขายพื้นที่โฆษณาออนไลน์บนเครื่องแม่ข่าย</t>
  </si>
  <si>
    <t>เว็บท่า</t>
  </si>
  <si>
    <t>เนื้อหาในเว็บท่า</t>
  </si>
  <si>
    <t>บริการขายพื้นที่โฆษณาออนไลน์ในเว็บท่า</t>
  </si>
  <si>
    <t>บริการสารสนเทศอื่นๆ</t>
  </si>
  <si>
    <t>บริการของสำนักข่าว</t>
  </si>
  <si>
    <t>บริการของสำนักข่าวสื่อสิ่งพิมพ์</t>
  </si>
  <si>
    <t>บริการของสำนักข่าวสื่อโสตทัศน์</t>
  </si>
  <si>
    <t xml:space="preserve">บริการของสำนักข่าวสื่อโสตทัศน์     </t>
  </si>
  <si>
    <t>บริการสารสนเทศอื่นๆ ซึ่งมิได้จัดประเภทไว้ในที่อื่น</t>
  </si>
  <si>
    <t xml:space="preserve">บริการสารสนเทศอื่นๆ ซึ่งมิได้จัดประเภทไว้ในที่อื่น   </t>
  </si>
  <si>
    <t>ต้นฉบับข้อเท็จจริงหรือข้อมูลที่เก็บรวบรวม</t>
  </si>
  <si>
    <t>K</t>
  </si>
  <si>
    <t>บริการทางการเงินและการประกันภัย</t>
  </si>
  <si>
    <t>บริการทางการเงิน (ยกเว้นบริการประกันภัยและกองทุนบำเหน็จบำนาญ)</t>
  </si>
  <si>
    <t>บริการของตัวกลางทางเงินตรา</t>
  </si>
  <si>
    <t>บริการของธนาคารกลาง</t>
  </si>
  <si>
    <t xml:space="preserve">บริการของธนาคารกลาง   </t>
  </si>
  <si>
    <t>บริการของตัวกลางทางเงินตราอื่นๆ</t>
  </si>
  <si>
    <t>บริการของธนาคารพาณิชย์</t>
  </si>
  <si>
    <t>บริการรับฝากเงินธนาคารพาณิชย์</t>
  </si>
  <si>
    <t>บริการสินเชื่อของธนาคารพาณิชย์</t>
  </si>
  <si>
    <t xml:space="preserve">บริการอื่นๆ ของธนาคารพาณิชย์ </t>
  </si>
  <si>
    <t>บริการของบริษัทเงินทุน</t>
  </si>
  <si>
    <t xml:space="preserve">บริการรับฝากเงินของบริษัทเงินทุน   </t>
  </si>
  <si>
    <t>บริการสินเชื่อของบริษัทเงินทุน</t>
  </si>
  <si>
    <t xml:space="preserve">บริการอื่นๆ ของบริษัทเงินทุน </t>
  </si>
  <si>
    <t>บริการของบริษัทเครดิตฟองซิเอร์</t>
  </si>
  <si>
    <t xml:space="preserve">บริการรับฝากเงินของบริษัทเครดิตฟองซิเอร์ </t>
  </si>
  <si>
    <t>บริการสินเชื่อของบริษัทเครดิตฟองซิเอร์</t>
  </si>
  <si>
    <t>บริการของธนาคารพาณิชย์เฉพาะกิจ</t>
  </si>
  <si>
    <t>บริการรับฝากเงินของธนาคารพาณิชย์เฉพาะกิจ</t>
  </si>
  <si>
    <t>บริการสินเชื่อของธนาคารพาณิชย์เฉพาะกิจ</t>
  </si>
  <si>
    <t>บริการอื่นๆ ของธนาคารพาณิชย์เฉพาะกิจ</t>
  </si>
  <si>
    <t>บริการของสหกรณ์ที่เป็นตัวกลางทางการเงิน</t>
  </si>
  <si>
    <t xml:space="preserve">บริการรับฝากเงินของสหกรณ์ที่เป็นตัวกลางทางการเงิน   </t>
  </si>
  <si>
    <t>บริการสินเชื่อของสหกรณ์ที่เป็นตัวกลางทางการเงิน</t>
  </si>
  <si>
    <t>บริการอื่นๆ ของสหกรณ์ที่เป็นตัวกลางทางการเงิน</t>
  </si>
  <si>
    <t>บริการของบริษัทโฮลดิ้ง</t>
  </si>
  <si>
    <t>บริการของบริษัทโฮลดิ้งที่ลงทุนในธุรกิจการเงินเป็นหลัก</t>
  </si>
  <si>
    <t xml:space="preserve">บริการของบริษัทโฮลดิ้งที่ลงทุนในธุรกิจการเงินเป็นหลัก   </t>
  </si>
  <si>
    <t>บริการของบริษัทโฮลดิ้งที่ไม่ได้ลงทุนในธุรกิจการเงินเป็นหลัก</t>
  </si>
  <si>
    <t xml:space="preserve">บริการของบริษัทโฮลดิ้งที่ไม่ได้ลงทุนในธุรกิจการเงินเป็นหลัก   </t>
  </si>
  <si>
    <t>บริการของทรัสต์ กองทุน และบริการทางการเงินอื่นๆ ที่คล้ายกัน</t>
  </si>
  <si>
    <t>บริการของกองทุน</t>
  </si>
  <si>
    <t>บริการของทรัสต์</t>
  </si>
  <si>
    <t>บริการทางการเงินอื่นๆ ที่คล้ายกับทรัสต์และกองทุน</t>
  </si>
  <si>
    <t xml:space="preserve">บริการทางการเงินอื่นๆ ที่คล้ายกับทรัสต์และกองทุน   </t>
  </si>
  <si>
    <t>บริการทางการเงินอื่นๆ (ยกเว้นบริการประกันภัยและกองทุนบำเหน็จบำนาญ)</t>
  </si>
  <si>
    <t>บริการสัญญาเช่าทางการเงิน</t>
  </si>
  <si>
    <t>บริการสัญญาเช่าทางการเงินสำหรับยานยนต์</t>
  </si>
  <si>
    <t xml:space="preserve">บริการสัญญาเช่าทางการเงินสำหรับยานยนต์   </t>
  </si>
  <si>
    <t>บริการสัญญาเช่าทางการเงินสำหรับเครื่องจักรและอุปกรณ์เพื่อการดำเนินธุรกิจ</t>
  </si>
  <si>
    <t xml:space="preserve">บริการสัญญาเช่าทางการเงินสำหรับเครื่องจักรและอุปกรณ์ เพื่อการดำเนินธุรกิจ  </t>
  </si>
  <si>
    <t>บริการสัญญาเช่าทางการเงินสำหรับสินค้าอุปโภค (ยกเว้นยานยนต์และรถจักรยานยนต์)</t>
  </si>
  <si>
    <t xml:space="preserve">บริการสัญญาเช่าทางการเงินสำหรับสินค้าอุปโภค (ยกเว้นยานยนต์และรถจักรยานยนต์)   </t>
  </si>
  <si>
    <t>บริการให้สินเชื่อประเภทอื่นๆ</t>
  </si>
  <si>
    <t>บริการให้สินเชื่อเพื่อการค้าและการลงทุน</t>
  </si>
  <si>
    <t xml:space="preserve">บริการให้สินเชื่อเพื่อการค้าและการลงทุน (ยกเว้นของสถาบันทางเงินตรา)   </t>
  </si>
  <si>
    <t>บริการให้สินเชื่อเพื่อการอุปโภคบริโภค</t>
  </si>
  <si>
    <t xml:space="preserve">บริการให้สินเชื่อเพื่อการอุปโภคบริโภค   </t>
  </si>
  <si>
    <t>บริการให้สินเชื่อเพื่อการซื้อที่อยู่อาศัย</t>
  </si>
  <si>
    <t xml:space="preserve">บริการให้สินเชื่อเพื่อการซื้อที่อยู่อาศัย   </t>
  </si>
  <si>
    <t>บริการบัตรเครดิต</t>
  </si>
  <si>
    <t xml:space="preserve">บริการบัตรเครดิต   </t>
  </si>
  <si>
    <t>บริการของโรงรับจำนำ</t>
  </si>
  <si>
    <t xml:space="preserve">บริการของโรงรับจำนำ   </t>
  </si>
  <si>
    <t>บริการให้สินเชื่อประเภทอื่นๆ ซึ่งมิได้จัดประเภทไว้ในที่อื่น</t>
  </si>
  <si>
    <t xml:space="preserve">บริการให้สินเชื่อประเภทอื่นๆ ซึ่งมิได้จัดประเภทไว้ในที่อื่น   </t>
  </si>
  <si>
    <t>บริการทางการเงินอื่นๆ (ยกเว้นบริการประกันภัยและกองทุนบำเหน็จบำนาญ) ซึ่งมิได้จัดประเภทไว้ในที่อื่น</t>
  </si>
  <si>
    <t>บริการให้เงินทุนนอกเหนือจากการให้กู้ยืม</t>
  </si>
  <si>
    <t xml:space="preserve">บริการให้เงินทุนนอกเหนือจากการให้กู้ยืม   </t>
  </si>
  <si>
    <t>บริการลงทุนที่เป็นกิจกรรมของตนเอง</t>
  </si>
  <si>
    <t xml:space="preserve">บริการลงทุนที่เป็นกิจกรรมของตนเอง   </t>
  </si>
  <si>
    <t xml:space="preserve">บริการทางการเงินอื่นๆ (ยกเว้นบริการประกันภัยและกองทุนบำเหน็จบำนาญ) ซึ่งมิได้จัดประเภทไว้ในที่อื่น   </t>
  </si>
  <si>
    <t>บริการวาณิชธนกิจ</t>
  </si>
  <si>
    <t>บริการประกันภัย บริการประกันภัยต่อ และบริการของกองทุนบำเหน็จบำนาญ (ยกเว้นบริการประกันสังคมภาคบังคับ)</t>
  </si>
  <si>
    <t>บริการประกันภัย</t>
  </si>
  <si>
    <t>บริการประกันชีวิต</t>
  </si>
  <si>
    <t xml:space="preserve">บริการประกันชีวิต   </t>
  </si>
  <si>
    <t>บริการประกันวินาศภัย</t>
  </si>
  <si>
    <t xml:space="preserve">บริการประกันอุบัติเหตุและสุขภาพ   </t>
  </si>
  <si>
    <t>บริการประกันอุบัติเหตุ</t>
  </si>
  <si>
    <t>บริการประกันสุขภาพ</t>
  </si>
  <si>
    <t>บริการประกันภัยยานยนต์</t>
  </si>
  <si>
    <t>บริการประกันภัยยานยนต์สำหรับบุคคลที่สาม</t>
  </si>
  <si>
    <t>บริการประกันภัยยานยนต์อื่นๆ</t>
  </si>
  <si>
    <t>บริการประกันภัยการขนส่งทางทะเล ทางอากาศ และอื่นๆ</t>
  </si>
  <si>
    <t>บริการประกันภัยรถไฟ</t>
  </si>
  <si>
    <t>บริการประกันภัยอากาศยานสำหรับบุคคลที่สาม</t>
  </si>
  <si>
    <t>บริการประกันภัยอากาศยานอื่นๆ</t>
  </si>
  <si>
    <t>บริการประกันภัยเรือสำหรับบุคคลที่สาม</t>
  </si>
  <si>
    <t xml:space="preserve">บริการประกันภัยเรืออื่นๆ </t>
  </si>
  <si>
    <t>บริการประกันภัยสินค้า</t>
  </si>
  <si>
    <t>บริการประกันอัคคีภัยและความเสียหายอื่นๆ ที่มีต่อทรัพย์สิน</t>
  </si>
  <si>
    <t>บริการประกันความเสียหายอันเนื่องจากอัคคีภัยที่มีต่อทรัพย์สิน</t>
  </si>
  <si>
    <t>บริการประกันความเสียหายอื่นๆ ที่มีต่อทรัพย์สิน</t>
  </si>
  <si>
    <t>บริการประกันภัยความรับผิดทั่วไป</t>
  </si>
  <si>
    <t>บริการประกันสินเชื่อและค้ำประกัน</t>
  </si>
  <si>
    <t>บริการประกันสินเชื่อ</t>
  </si>
  <si>
    <t>บริการประกันภัยค้ำประกัน</t>
  </si>
  <si>
    <t>บริการประกันภัยการเดินทางและความช่วยเหลือ คดีความและความเสียหายทางการเงินอื่นๆ</t>
  </si>
  <si>
    <t>บริการประกันภัยการเดินทางและความช่วยเหลือ</t>
  </si>
  <si>
    <t>บริการประกันภัยคดีความ</t>
  </si>
  <si>
    <t>บริการประกันภัยความเสียหายทางการเงินอื่นๆ</t>
  </si>
  <si>
    <t>บริการประกันวินาศภัยอื่นๆ</t>
  </si>
  <si>
    <t>บริการประกันภัยต่อ</t>
  </si>
  <si>
    <t>บริการประกันภัยต่อประกันชีวิต อุบัติเหตุ และสุขภาพ</t>
  </si>
  <si>
    <t>บริการประกันภัยต่อประกันชีวิต</t>
  </si>
  <si>
    <t>บริการประกันภัยต่ออุบัติเหตุ</t>
  </si>
  <si>
    <t>บริการประกันภัยต่อสุขภาพ</t>
  </si>
  <si>
    <t>บริการประกันภัยต่ออุปกรณ์ขนส่งและทรัพย์สิน</t>
  </si>
  <si>
    <t>บริการประกันภัยต่อยานยนต์สำหรับบุคคลที่สาม</t>
  </si>
  <si>
    <t>บริการประกันภัยต่อยานยนต์อื่นๆ</t>
  </si>
  <si>
    <t>บริการประกันภัยต่อการขนส่งทางทะเล ทางอากาศ และอื่นๆ</t>
  </si>
  <si>
    <t>บริการประกันภัยต่อสินค้า</t>
  </si>
  <si>
    <t>บริการประกันภัยต่ออัคคีภัยและความเสียหายอื่นๆ ที่มีต่อทรัพย์สิน</t>
  </si>
  <si>
    <t>บริการประกันภัยต่อความรับผิดทั่วไป สินเชื่อ และค้ำประกัน</t>
  </si>
  <si>
    <t>บริการประกันภัยต่อความรับผิดทั่วไป</t>
  </si>
  <si>
    <t>บริการประกันภัยต่อสินเชื่อและค้ำประกัน</t>
  </si>
  <si>
    <t>บริการประกันภัยต่อคดีความ และความเสียหายทางการเงินอื่นๆ</t>
  </si>
  <si>
    <t>บริการประกันภัยต่อคดีความ</t>
  </si>
  <si>
    <t>บริการประกันภัยต่อความเสียหายทางการเงินอื่นๆ</t>
  </si>
  <si>
    <t>บริการประกันภัยต่อที่เกี่ยวข้องกับกองทุนบำเหน็จบำนาญ</t>
  </si>
  <si>
    <t>บริการประกันภัยต่อวินาศภัยอื่นๆ</t>
  </si>
  <si>
    <t>บริการของกองทุนบำเหน็จบำนาญ</t>
  </si>
  <si>
    <t>บริการของกองทุนบำเหน็จบำนาญแบบส่วนบุคคล</t>
  </si>
  <si>
    <t>บริการของกองทุนบำเหน็จบำนาญแบบกลุ่ม</t>
  </si>
  <si>
    <t>บริการสนับสนุนการบริการทางการเงินและบริการประกันภัย</t>
  </si>
  <si>
    <t>บริการสนับสนุนการบริการทางการเงิน (ยกเว้นบริการประกันภัยและกองทุนบำเหน็จบำนาญ)</t>
  </si>
  <si>
    <t>บริการบริหารงานด้านตลาดการเงิน</t>
  </si>
  <si>
    <t>บริการบริหารงานตลาดเงินและตลาดทุน</t>
  </si>
  <si>
    <t xml:space="preserve">บริการบริหารงานตลาดเงินและตลาดทุน   </t>
  </si>
  <si>
    <t>บริการดำเนินงานตลาดเงินและตลาดทุน</t>
  </si>
  <si>
    <t>บริการบริหารงานอื่นๆ ที่เกี่ยวข้องกับตลาดเงินและตลาดทุน</t>
  </si>
  <si>
    <t>บริการบริหารงานตลาดอนุพันธ์</t>
  </si>
  <si>
    <t xml:space="preserve">บริการบริหารงานตลาดอนุพันธ์ </t>
  </si>
  <si>
    <t>บริการดำเนินงานตลาดอนุพันธ์</t>
  </si>
  <si>
    <t>บริการบริหารงานอื่นๆ ที่เกี่ยวข้องกับตลาดอนุพันธ์</t>
  </si>
  <si>
    <t>บริการควบคุมดูแลการบริหารงานตลาดการเงิน</t>
  </si>
  <si>
    <t xml:space="preserve">บริการควบคุมดูแลการบริหารงานตลาดการเงิน   </t>
  </si>
  <si>
    <t>บริการของนายหน้าซื้อขายหลักทรัพย์และตราสารอนุพันธ์</t>
  </si>
  <si>
    <t>บริการของนายหน้าซื้อขายหลักทรัพย์</t>
  </si>
  <si>
    <t xml:space="preserve">บริการของนายหน้าซื้อขายหลักทรัพย์      </t>
  </si>
  <si>
    <t>บริการของนายหน้าซื้อขายตราสารอนุพันธ์</t>
  </si>
  <si>
    <t xml:space="preserve">บริการของนายหน้าซื้อขายตราสารอนุพันธ์      </t>
  </si>
  <si>
    <t>บริการแลกเปลี่ยนเงินตราต่างประเทศ</t>
  </si>
  <si>
    <t xml:space="preserve">บริการแลกเปลี่ยนเงินตราต่างประเทศ   </t>
  </si>
  <si>
    <t>บริการอื่นๆ ที่สนับสนุนการบริการทางการเงิน</t>
  </si>
  <si>
    <t>บริการให้คำปรึกษาทางการเงิน</t>
  </si>
  <si>
    <t>บริการสนับสนุนที่เกี่ยวข้องกับวาณิชธนกิจ</t>
  </si>
  <si>
    <t>บริการด้านการควบรวมกิจการ</t>
  </si>
  <si>
    <t>บริการด้านธุรกิจการเงินและธุรกิจเงินร่วมลงทุน</t>
  </si>
  <si>
    <t>บริการสนับสนุนอื่นๆ ที่เกี่ยวข้องกับวาณิชธนกิจ</t>
  </si>
  <si>
    <t>บริการประมวลผลและเรียกชำระเงินสำหรับธุรกรรมทางการเงิน</t>
  </si>
  <si>
    <t>บริการประมวลผลและเรียกชำระเงินสำหรับธุรกรรมหลักทรัพย์</t>
  </si>
  <si>
    <t>บริการดูแลและรักษาหลักทรัพย์</t>
  </si>
  <si>
    <t>บริการอื่นๆ ที่สนับสนุนการให้บริการทางการเงิน ซึ่งมิได้จัดประเภทไว้ในที่อื่น</t>
  </si>
  <si>
    <t>บริการของผู้ดูแลผลประโยชน์</t>
  </si>
  <si>
    <t xml:space="preserve">บริการอื่นๆ ที่สนับสนุนการให้บริการทางการเงิน ซึ่งมิได้จัดประเภทไว้ในที่อื่น </t>
  </si>
  <si>
    <t>บริการสนับสนุนการประกันภัยและกองทุนบำเหน็จบำนาญ</t>
  </si>
  <si>
    <t>บริการประเมินความเสี่ยงภัยและมูลค่าความเสียหาย</t>
  </si>
  <si>
    <t>บริการของตัวแทนและนายหน้าประกันภัย</t>
  </si>
  <si>
    <t>บริการของตัวแทนและนายหน้าประกันชีวิต</t>
  </si>
  <si>
    <t>บริการของตัวแทนและนายหน้าประกันวินาศภัย</t>
  </si>
  <si>
    <t>บริการอื่นๆ ที่สนับสนุนการประกันภัยและกองทุนบำเหน็จบำนาญ</t>
  </si>
  <si>
    <t>บริการอื่นๆ ที่สนับสนุนบริการประกันภัยและกองทุนบำเหน็จบำนาญ</t>
  </si>
  <si>
    <t>บริการด้านคณิตศาสตร์ประกันภัย</t>
  </si>
  <si>
    <t>บริการอื่นๆ ที่สนับสนุนบริการประกันภัยและกองทุนบำเหน็จบำนาญ ซึ่งมิได้จัดประเภทไว้ในที่อื่น</t>
  </si>
  <si>
    <t>บริการจัดการกองทุน</t>
  </si>
  <si>
    <t>บริการจัดการกองทุนและพอร์ตการลงทุน (ยกเว้นกองทุนบำเหน็จบำนาญ)</t>
  </si>
  <si>
    <t>บริการจัดการกองทุนบำเหน็จบำนาญ</t>
  </si>
  <si>
    <t>L</t>
  </si>
  <si>
    <t>บริการด้านอสังหาริมทรัพย์</t>
  </si>
  <si>
    <t>บริการด้านอสังหาริมทรัพย์ที่เป็นของตนเองหรือเช่าจากผู้อื่น</t>
  </si>
  <si>
    <t>บริการซื้อและขายอสังหาริมทรัพย์ที่เป็นของตนเองเพื่อการอยู่อาศัย</t>
  </si>
  <si>
    <t xml:space="preserve">บริการซื้อและขายอสังหาริมทรัพย์ที่เป็นของตนเองเพื่อการอยู่อาศัย   </t>
  </si>
  <si>
    <t>บริการซื้อและขายอาคาร/สิ่งปลูกสร้างพร้อมที่ดินเพื่อการอยู่อาศัย</t>
  </si>
  <si>
    <t xml:space="preserve">บริการซื้อและขายอาคาร/สิ่งปลูกสร้างแบบแบ่งเวลาเพื่อการอยู่อาศัย </t>
  </si>
  <si>
    <t>บริการซื้อและขายที่ดินเปล่าเพื่อการอยู่อาศัย</t>
  </si>
  <si>
    <t>บริการซื้อและขายอสังหาริมทรัพย์ที่เป็นของตนเองที่ไม่ใช่เพื่อการอยู่อาศัย</t>
  </si>
  <si>
    <t xml:space="preserve">บริการซื้อและขายอสังหาริมทรัพย์ที่เป็นของตนเองที่ไม่ใช่เพื่อการอยู่อาศัย   </t>
  </si>
  <si>
    <t>บริการซื้อและขายอาคาร/สิ่งปลูกสร้างพร้อมที่ดินที่ไม่ใช่เพื่อการอยู่อาศัย</t>
  </si>
  <si>
    <t>บริการซื้อและขายที่ดินเปล่าที่ไม่ใช่เพื่อการอยู่อาศัย</t>
  </si>
  <si>
    <t>บริการให้เช่าและดำเนินการเกี่ยวกับอสังหาริมทรัพย์ที่เป็นของตนเองหรือเช่าจากผู้อื่นเพื่อการอยู่อาศัย</t>
  </si>
  <si>
    <t xml:space="preserve">บริการให้เช่าและดำเนินการเกี่ยวกับอสังหาริมทรัพย์ที่เป็นของตนเองหรือเช่าจากผู้อื่นเพื่อการอยู่อาศัย  </t>
  </si>
  <si>
    <t>บริการให้เช่าและดำเนินการเกี่ยวกับอสังหาริมทรัพย์ที่เป็นของตนเองหรือเช่าจากผู้อื่นที่ไม่ใช่เพื่อการอยู่อาศัย</t>
  </si>
  <si>
    <t>บริการด้านอสังหาริมทรัพย์ โดยได้รับค่าตอบแทนหรือตามสัญญาจ้าง</t>
  </si>
  <si>
    <t>บริการของตัวแทนอสังหาริมทรัพย์ โดยได้รับค่าตอบแทนหรือตามสัญญาจ้าง</t>
  </si>
  <si>
    <t>บริการของตัวแทนอสังหาริมทรัพย์  โดยได้รับค่าตอบแทนหรือตามสัญญาจ้าง</t>
  </si>
  <si>
    <t>บริการขายอาคาร/สิ่งปลูกสร้างพร้อมที่ดินเพื่อการอยู่อาศัย โดยได้รับค่าตอบแทนหรือตามสัญญาจ้าง (ยกเว้นอสังหาริมทรัพย์ที่เจ้าของนำมาแบ่งเวลาให้อยู่อาศัย)</t>
  </si>
  <si>
    <t>บริการขายอสังหาริมทรัพย์แบบแบ่งเวลา โดยได้รับค่าตอบแทนหรือตามสัญญาจ้าง</t>
  </si>
  <si>
    <t>บริการขายที่ดินเปล่าเพื่อการอยู่อาศัย โดยได้รับค่าตอบแทนหรือตามสัญญาจ้าง</t>
  </si>
  <si>
    <t>บริการขายอาคาร/สิ่งปลูกสร้างพร้อมที่ดินที่ไม่ใช่เพื่อการอยู่อาศัย โดยได้รับค่าตอบแทนหรือตามสัญญาจ้าง</t>
  </si>
  <si>
    <t>บริการขายที่ดินเปล่าที่ไม่ใช่เพื่อการอยู่อาศัย โดยได้รับค่าตอบแทนหรือตามสัญญาจ้าง</t>
  </si>
  <si>
    <t>บริการประเมินราคาอสังหาริมทรัพย์ โดยได้รับค่าตอบแทนหรือตามสัญญาจ้าง</t>
  </si>
  <si>
    <t>บริการจัดการอสังหาริมทรัพย์ โดยได้รับค่าตอบแทนหรือตามสัญญาจ้าง</t>
  </si>
  <si>
    <t>บริการจัดการอสังหาริมทรัพย์เพื่อการอยู่อาศัย โดยได้รับค่าตอบแทนหรือตามสัญญาจ้าง (ยกเว้นอสังหาริมทรัพย์ที่เจ้าของนำมาแบ่งเวลาเพื่อการอยู่อาศัย)</t>
  </si>
  <si>
    <t>บริการจัดการอสังหาริมทรัพย์แบบแบ่งเวลา โดยได้รับค่าตอบแทนหรือตามสัญญาจ้าง</t>
  </si>
  <si>
    <t>บริการจัดการอสังหาริมทรัพย์ที่ไม่ใช่เพื่อการอยู่อาศัย โดยได้รับค่าตอบแทนหรือตามสัญญาจ้าง</t>
  </si>
  <si>
    <t>M</t>
  </si>
  <si>
    <t>บริการทางวิชาชีพ วิทยาศาสตร์ และเทคนิค</t>
  </si>
  <si>
    <t>บริการด้านกฎหมายและการบัญชี</t>
  </si>
  <si>
    <t>บริการด้านกฎหมาย</t>
  </si>
  <si>
    <t xml:space="preserve">บริการด้านกฎหมาย   </t>
  </si>
  <si>
    <t>บริการให้คำปรึกษาและเป็นตัวแทนทางกฎหมายในคดีอาญา</t>
  </si>
  <si>
    <t xml:space="preserve">บริการให้คำปรึกษาและเป็นตัวแทนทางกฎหมายในการดำเนินคดีที่เกี่ยวข้องกับกฎหมายธุรกิจและพาณิชย์ </t>
  </si>
  <si>
    <t>บริการให้คำปรึกษาและเป็นตัวแทนทางกฎหมายในการดำเนินคดีที่เกี่ยวข้องกับกฎหมายแรงงาน</t>
  </si>
  <si>
    <t>บริการให้คำปรึกษาและเป็นตัวแทนทางกฎหมายในการดำเนินคดีที่เกี่ยวข้องกับกฎหมายแพ่ง</t>
  </si>
  <si>
    <t xml:space="preserve">บริการทางกฎหมายเกี่ยวกับสิทธิบัตร ลิขสิทธิ์ และการคุ้มครองสิทธิของทรัพย์สินทางปัญญาอื่นๆ  </t>
  </si>
  <si>
    <t>บริการรับรองเอกสาร</t>
  </si>
  <si>
    <t>บริการอนุญาโตตุลาการและการประนอมข้อพิพาท</t>
  </si>
  <si>
    <t>บริการทางกฎหมายด้านการประมูล</t>
  </si>
  <si>
    <t xml:space="preserve">บริการด้านกฎหมายอื่นๆ  </t>
  </si>
  <si>
    <t>บริการด้านบัญชี บริการทำบัญชี และบริการตรวจสอบบัญชี บริการให้คำปรึกษาด้านภาษี</t>
  </si>
  <si>
    <t>บริการตรวจสอบทางการเงิน</t>
  </si>
  <si>
    <t xml:space="preserve">บริการด้านบัญชี  </t>
  </si>
  <si>
    <t>บริการทบทวนบัญชี</t>
  </si>
  <si>
    <t>บริการรวบรวมงบการเงิน</t>
  </si>
  <si>
    <t xml:space="preserve">บริการทำบัญชี  </t>
  </si>
  <si>
    <t xml:space="preserve">บริการบัญชีเงินเดือน  </t>
  </si>
  <si>
    <t>บริการด้านบัญชีอื่นๆ</t>
  </si>
  <si>
    <t>บริการให้คำปรึกษาด้านภาษี</t>
  </si>
  <si>
    <t>บริการให้คำปรึกษาและจัดทำภาษีนิติบุคคล</t>
  </si>
  <si>
    <t>บริการจัดทำและวางแผนภาษีบุคคลธรรมดา</t>
  </si>
  <si>
    <t>บริการเกี่ยวกับการล้มละลายและบริการพิทักษ์ทรัพย์</t>
  </si>
  <si>
    <t>บริการของสำนักงานใหญ่และบริการให้คำปรึกษาด้านการบริหารจัดการ</t>
  </si>
  <si>
    <t>บริการของสำนักงานใหญ่</t>
  </si>
  <si>
    <t xml:space="preserve">บริการของสำนักงานใหญ่  </t>
  </si>
  <si>
    <t>บริการให้คำปรึกษาด้านการบริหารจัดการ</t>
  </si>
  <si>
    <t>บริการให้คำปรึกษาด้านการสื่อสารประชาสัมพันธ์</t>
  </si>
  <si>
    <t>บริการให้คำปรึกษาด้านการบริหารจัดการทางการเงิน</t>
  </si>
  <si>
    <t xml:space="preserve">บริการให้คำปรึกษาด้านการบริหารจัดการทางการเงิน </t>
  </si>
  <si>
    <t>บริการให้คำปรึกษาด้านการบริหารจัดการอื่นๆ</t>
  </si>
  <si>
    <t>บริการให้คำปรึกษาด้านการจัดการกลยุทธ์</t>
  </si>
  <si>
    <t>บริการให้คำปรึกษาด้านการจัดการทางการตลาด</t>
  </si>
  <si>
    <t>บริการให้คำปรึกษาด้านการจัดการทรัพยากรบุคคล</t>
  </si>
  <si>
    <t xml:space="preserve">บริการให้คำปรึกษาด้านการจัดการด้านการผลิต  </t>
  </si>
  <si>
    <t xml:space="preserve">บริการให้คำปรึกษาด้านห่วงโซ่อุปทานและการจัดการอื่นๆ  </t>
  </si>
  <si>
    <t>บริการจัดการกระบวนงานทางธุรกิจ</t>
  </si>
  <si>
    <t>บริการบริหารจัดการโครงการ (ยกเว้นการบริหารจัดการโครงการก่อสร้าง)</t>
  </si>
  <si>
    <t>บริการให้คำปรึกษาด้านธุรกิจอื่นๆ</t>
  </si>
  <si>
    <t xml:space="preserve">เครื่องหมายการค้าและแฟรนไชส์  </t>
  </si>
  <si>
    <t>บริการด้านสถาปัตยกรรมและวิศวกรรม รวมถึงบริการทดสอบและวิเคราะห์ทางเทคนิค</t>
  </si>
  <si>
    <t>บริการด้านสถาปัตยกรรมและวิศวกรรม และให้คำปรึกษาด้านเทคนิคที่เกี่ยวข้อง</t>
  </si>
  <si>
    <t>บริการด้านสถาปัตยกรรมและให้คำปรึกษาด้านเทคนิคที่เกี่ยวข้อง</t>
  </si>
  <si>
    <t>แบบแปลนและงานเขียนแบบที่ใช้เพื่อวัตถุประสงค์ทางสถาปัตยกรรม</t>
  </si>
  <si>
    <t>บริการด้านสถาปัตยกรรมของอาคาร/สิ่งก่อสร้างเพื่อการอยู่อาศัย</t>
  </si>
  <si>
    <t>บริการด้านสถาปัตยกรรมของอาคาร/สิ่งก่อสร้างที่ไม่ใช่เพื่อการอยู่อาศัย</t>
  </si>
  <si>
    <t xml:space="preserve">บริการด้านสถาปัตยกรรมในการปรับปรุงอาคาร/สิ่งก่อสร้างทางประวัติศาสตร์  </t>
  </si>
  <si>
    <t>บริการให้คำปรึกษาด้านสถาปัตยกรรมและเทคนิค</t>
  </si>
  <si>
    <t>บริการวางผังเมืองและที่ดิน</t>
  </si>
  <si>
    <t>บริการวางผังเมือง</t>
  </si>
  <si>
    <t>บริการวางผังที่ดินในเขตชนบท</t>
  </si>
  <si>
    <t>บริการวางผังงานโครงการก่อสร้าง</t>
  </si>
  <si>
    <t>บริการด้านภูมิสถาปัตยกรรมและให้คำปรึกษาด้านเทคนิคที่เกี่ยวข้อง</t>
  </si>
  <si>
    <t>บริการด้านภูมิสถาปัตยกรรม</t>
  </si>
  <si>
    <t>บริการให้คำปรึกษาด้านภูมิสถาปัตยกรรมและเทคนิค</t>
  </si>
  <si>
    <t>บริการด้านวิศวกรรมและให้คำปรึกษาด้านเทคนิคที่เกี่ยวข้อง</t>
  </si>
  <si>
    <t>บริการให้คำปรึกษาด้านวิศวกรรมและเทคนิค</t>
  </si>
  <si>
    <t>บริการด้านวิศวกรรม</t>
  </si>
  <si>
    <t>บริการด้านวิศวกรรมสำหรับโครงการก่อสร้างอาคาร</t>
  </si>
  <si>
    <t>บริการด้านวิศวกรรมสำหรับโครงการโรงไฟฟ้า</t>
  </si>
  <si>
    <t>บริการด้านวิศวกรรมสำหรับโครงการขนส่ง</t>
  </si>
  <si>
    <t>บริการด้านวิศวกรรมสำหรับโครงการจัดการของเสีย (ทั้งที่เป็นและไม่เป็นอันตราย)</t>
  </si>
  <si>
    <t>บริการด้านวิศวกรรมสำหรับโครงการเกี่ยวกับน้ำ ท่อน้ำทิ้ง และการระบายน้ำ</t>
  </si>
  <si>
    <t>บริการด้านวิศวกรรมสำหรับโครงการทางอุตสาหกรรมและการผลิต</t>
  </si>
  <si>
    <t>บริการด้านวิศวกรรมสำหรับโครงการโทรคมนาคมและการแพร่ภาพกระจายเสียง</t>
  </si>
  <si>
    <t>บริการด้านวิศวกรรมสำหรับโครงการอื่นๆ</t>
  </si>
  <si>
    <t>บริการบริหารจัดการโครงการก่อสร้าง</t>
  </si>
  <si>
    <t>บริการด้านธรณีฟิสิกส์ ธรณีวิทยา และให้คำปรึกษาด้านเทคนิคที่เกี่ยวข้อง</t>
  </si>
  <si>
    <t xml:space="preserve">บริการให้คำปรึกษาทางธรณีวิทยาและธรณีฟิสิกส์และเทคนิค </t>
  </si>
  <si>
    <t>บริการด้านธรณีฟิสิกส์</t>
  </si>
  <si>
    <t>บริการสำรวจและประเมินแหล่งแร่</t>
  </si>
  <si>
    <t>บริการสำรวจพื้นผิว</t>
  </si>
  <si>
    <t>บริการทำแผนที่</t>
  </si>
  <si>
    <t>บริการทดสอบและวิเคราะห์ทางเทคนิค</t>
  </si>
  <si>
    <t>บริการทดสอบและวิเคราะห์องค์ประกอบทางเคมี กายภาพ และชีวภาพ</t>
  </si>
  <si>
    <t>บริการทดสอบและวิเคราะห์องค์ประกอบและความบริสุทธิ์</t>
  </si>
  <si>
    <t>บริการทดสอบและวิเคราะห์คุณสมบัติทางกายภาพ</t>
  </si>
  <si>
    <t>บริการตรวจสภาพยานยนต์ทางเทคนิค</t>
  </si>
  <si>
    <t>บริการทดสอบและวิเคราะห์ทางเทคนิคอื่นๆ</t>
  </si>
  <si>
    <t>บริการทดสอบและวิเคราะห์ระบบที่มีส่วนประกอบทางกลและไฟฟ้ารวมอยู่ด้วยกัน</t>
  </si>
  <si>
    <t>บริการทดสอบและวิเคราะห์ทางเทคนิคอื่นๆ ซึ่งมิได้จัดประเภทไว้ในที่อื่น</t>
  </si>
  <si>
    <t>บริการวิจัยและพัฒนาเชิงวิทยาศาสตร์</t>
  </si>
  <si>
    <t>บริการวิจัยและพัฒนาเชิงทดลองด้านวิทยาศาสตร์ธรรมชาติและวิศวกรรม</t>
  </si>
  <si>
    <t>บริการวิจัยและพัฒนาเชิงทดลองด้านวิทยาศาสตร์ธรรมชาติ</t>
  </si>
  <si>
    <t>บริการวิจัยและพัฒนาเชิงทดลองด้านคณิตศาสตร์</t>
  </si>
  <si>
    <t>บริการวิจัยและพัฒนาเชิงทดลองด้านคอมพิวเตอร์และวิทยาการสารสนเทศ</t>
  </si>
  <si>
    <t>บริการวิจัยและพัฒนาเชิงทดลองด้านวิทยาศาสตร์กายภาพ</t>
  </si>
  <si>
    <t>บริการวิจัยและพัฒนาเชิงทดลองด้านเคมี</t>
  </si>
  <si>
    <t>บริการวิจัยและพัฒนาเชิงทดลองด้านวิทยาศาสตร์เกี่ยวกับโลกและวิทยาศาสตร์สิ่งแวดล้อม</t>
  </si>
  <si>
    <t>บริการวิจัยและพัฒนาเชิงทดลองด้านวิทยาศาสตร์ชีวภาพ</t>
  </si>
  <si>
    <t>บริการวิจัยและพัฒนาเชิงทดลองด้านวิทยาศาสตร์ธรรมชาติอื่นๆ</t>
  </si>
  <si>
    <t xml:space="preserve">บริการวิจัยและพัฒนาเชิงทดลองด้านวิทยาศาสตร์การแพทย์  </t>
  </si>
  <si>
    <t>บริการวิจัยและพัฒนาเชิงทดลองด้านวิทยาศาสตร์การเกษตร</t>
  </si>
  <si>
    <t>ต้นฉบับงานวิจัยและพัฒนาด้านวิทยาศาสตร์ธรรมชาติ (ยกเว้นเทคโนโลยีชีวภาพ)</t>
  </si>
  <si>
    <t>บริการวิจัยและพัฒนาเชิงทดลองด้านเทคโนโลยีชีวภาพ</t>
  </si>
  <si>
    <t>บริการวิจัยและพัฒนาเชิงทดลองด้านเทคโนโลยีชีวภาพสุขภาพ</t>
  </si>
  <si>
    <t>บริการวิจัยและพัฒนาเชิงทดลองด้านเทคโนโลยีชีวภาพสิ่งแวดล้อมและอุตสาหกรรม</t>
  </si>
  <si>
    <t>บริการวิจัยและพัฒนาเชิงทดลองด้านเทคโนโลยีชีวภาพการเกษตร</t>
  </si>
  <si>
    <t>ต้นฉบับงานวิจัยและพัฒนาด้านเทคโนโลยีชีวภาพ</t>
  </si>
  <si>
    <t>บริการวิจัยและพัฒนาเชิงทดลองด้านวิศวกรรมและเทคโนโลยีอื่นๆ</t>
  </si>
  <si>
    <t>บริการวิจัยและพัฒนาเชิงทดลองด้านนาโนเทคโนโลยี</t>
  </si>
  <si>
    <t>บริการวิจัยและพัฒนาเชิงทดลองด้านวิศวกรรมและเทคโนโลยีอื่นๆ ซึ่งมิได้จัดประเภทไว้ในที่อื่น</t>
  </si>
  <si>
    <t>ต้นฉบับงานวิจัยและพัฒนาด้านวิศวกรรมและเทคโนโลยีอื่นๆ</t>
  </si>
  <si>
    <t>บริการวิจัยและพัฒนาเชิงทดลองด้านสังคมศาสตร์และมนุษยศาสตร์</t>
  </si>
  <si>
    <t>บริการวิจัยและพัฒนาเชิงทดลองด้านสังคมศาสตร์</t>
  </si>
  <si>
    <t>บริการวิจัยและพัฒนาเชิงทดลองด้านเศรษฐศาสตร์และธุรกิจ</t>
  </si>
  <si>
    <t>บริการวิจัยและพัฒนาเชิงทดลองด้านจิตวิทยา</t>
  </si>
  <si>
    <t>บริการวิจัยและพัฒนาเชิงทดลองด้านกฎหมาย</t>
  </si>
  <si>
    <t>บริการวิจัยและพัฒนาเชิงทดลองด้านสังคมศาสตร์อื่นๆ</t>
  </si>
  <si>
    <t xml:space="preserve">บริการวิจัยและพัฒนาเชิงทดลองด้านมนุษยศาสตร์  </t>
  </si>
  <si>
    <t xml:space="preserve">บริการวิจัยและพัฒนาเชิงทดลองด้านภาษาและวรรณกรรม  </t>
  </si>
  <si>
    <t xml:space="preserve">บริการวิจัยและพัฒนาเชิงทดลองด้านมนุษยศาสตร์อื่นๆ  </t>
  </si>
  <si>
    <t xml:space="preserve">ต้นฉบับงานวิจัยและพัฒนาด้านสังคมศาสตร์และมนุษย์ศาสตร์  </t>
  </si>
  <si>
    <t>บริการด้านการโฆษณาและวิจัยตลาด</t>
  </si>
  <si>
    <t>บริการด้านการโฆษณา</t>
  </si>
  <si>
    <t>บริการของบริษัทโฆษณา</t>
  </si>
  <si>
    <t>บริการด้านการโฆษณาแบบครบวงจร</t>
  </si>
  <si>
    <t>บริการการตลาดทางตรงและไปรษณีย์ทางตรง</t>
  </si>
  <si>
    <t>บริการออกแบบและพัฒนาแนวคิดงานโฆษณา</t>
  </si>
  <si>
    <t>บริการด้านโฆษณาอื่นๆ</t>
  </si>
  <si>
    <t>บริการของตัวแทนขายสื่อโฆษณา</t>
  </si>
  <si>
    <t>บริการขายพื้นที่โฆษณาทางสื่อสิ่งพิมพ์ โดยได้รับค่าตอบแทนหรือตามสัญญาจ้าง</t>
  </si>
  <si>
    <t>บริการขายพื้นที่หรือเวลาโฆษณาทางโทรทัศน์/วิทยุ โดยได้รับค่าตอบแทนหรือตามสัญญาจ้าง</t>
  </si>
  <si>
    <t>บริการขายพื้นที่หรือเวลาโฆษณาทางอินเทอร์เน็ต โดยได้รับค่าตอบแทนหรือตามสัญญาจ้าง</t>
  </si>
  <si>
    <t xml:space="preserve">บริการขายสิทธิการใช้ชื่อในงานด้านการกีฬาเพื่อการโฆษณา </t>
  </si>
  <si>
    <t>บริการขายพื้นที่หรือเวลาโฆษณาอื่นๆ โดยได้รับค่าตอบแทนหรือตามสัญญาจ้าง</t>
  </si>
  <si>
    <t>บริการขายต่อพื้นที่หรือเวลาโฆษณา โดยได้รับค่าตอบแทนหรือตามสัญญาจ้าง</t>
  </si>
  <si>
    <t>บริการวิจัยตลาดและสำรวจความคิดเห็นของประชาชน</t>
  </si>
  <si>
    <t>บริการวิจัยตลาด</t>
  </si>
  <si>
    <t>บริการสำรวจความคิดเห็นของประชาชน</t>
  </si>
  <si>
    <t>บริการทางวิชาชีพ วิทยาศาสตร์ และเทคนิคอื่นๆ</t>
  </si>
  <si>
    <t>บริการออกแบบเฉพาะด้าน</t>
  </si>
  <si>
    <t>บริการออกแบบตกแต่งภายใน</t>
  </si>
  <si>
    <t>ต้นฉบับงานออกแบบตกแต่งภายใน</t>
  </si>
  <si>
    <t>บริการออกแบบเฉพาะด้านอื่นๆ</t>
  </si>
  <si>
    <t xml:space="preserve">บริการออกแบบเฉพาะด้านอื่นๆ  </t>
  </si>
  <si>
    <t xml:space="preserve">บริการออกแบบทางอุตสาหกรรม  </t>
  </si>
  <si>
    <t>บริการออกแบบเฉพาะด้านอื่นๆ ซึ่งมิได้จัดประเภทไว้ในที่อื่น</t>
  </si>
  <si>
    <t xml:space="preserve">ต้นฉบับงานออกแบบเฉพาะด้านอื่นๆ  </t>
  </si>
  <si>
    <t>บริการถ่ายภาพ</t>
  </si>
  <si>
    <t>เพลตและฟิล์มที่ใช้ในการถ่ายภาพ</t>
  </si>
  <si>
    <t>เพลตและฟิล์มที่ใช้ในการถ่ายภาพที่ถ่ายแล้ว แต่ยังไม่ได้ล้าง</t>
  </si>
  <si>
    <t>เพลตและฟิล์มที่ใช้ในการถ่ายภาพที่ถ่ายและล้างแล้ว สำหรับใช้ในการพิมพ์โดยวิธีออฟเซ็ต</t>
  </si>
  <si>
    <t>เพลตและฟิล์มที่ใช้ในการถ่ายภาพอื่นๆ ที่ถ่ายและล้างแล้ว</t>
  </si>
  <si>
    <t>บริการถ่ายภาพเฉพาะทาง</t>
  </si>
  <si>
    <t>บริการถ่ายภาพเหมือน</t>
  </si>
  <si>
    <t>บริการถ่ายภาพโฆษณาและภาพที่เกี่ยวข้อง</t>
  </si>
  <si>
    <t xml:space="preserve">บริการถ่ายภาพและถ่ายวีดิทัศน์เหตุการณ์ต่างๆ  </t>
  </si>
  <si>
    <t>บริการถ่ายภาพทางอากาศ</t>
  </si>
  <si>
    <t>บริการถ่ายภาพเฉพาะทางอื่นๆ</t>
  </si>
  <si>
    <t>บริการถ่ายภาพอื่นๆ</t>
  </si>
  <si>
    <t>บริการล้างและอัดภาพ</t>
  </si>
  <si>
    <t>บริการซ่อมแซมและตกแต่งภาพถ่าย</t>
  </si>
  <si>
    <t>บริการถ่ายภาพอื่นๆ ซึ่งมิได้จัดประเภทไว้ในที่อื่น</t>
  </si>
  <si>
    <t>บริการทางวิชาชีพ วิทยาศาสตร์ และเทคนิคอื่นๆ ซึ่งมิได้จัดประเภทไว้ในที่อื่น</t>
  </si>
  <si>
    <t>บริการแปลและล่าม</t>
  </si>
  <si>
    <t>บริการแปล</t>
  </si>
  <si>
    <t>บริการล่าม</t>
  </si>
  <si>
    <t>บริการให้คำปรึกษาด้านสิ่งแวดล้อม</t>
  </si>
  <si>
    <t>บริการตรวจสอบใบเสร็จและข้อมูลอัตราค่าขนส่ง</t>
  </si>
  <si>
    <t>บริการของตัวแทน/นายหน้าทางธุรกิจและการประเมินราคา (ยกเว้นการเป็นตัวแทน/นายหน้าทางด้านอสังหาริมทรัพย์และการประกันภัย)</t>
  </si>
  <si>
    <t>บริการพยากรณ์อากาศและอุตุนิยมวิทยา</t>
  </si>
  <si>
    <t>บริการให้คำปรึกษาด้านการรักษาความปลอดภัย</t>
  </si>
  <si>
    <t>บริการให้คำปรึกษาทางวิทยาศาสตร์ และเทคนิคอื่นๆ ซึ่งมิได้จัดประเภทไว้ในที่อื่น</t>
  </si>
  <si>
    <t>บริการทางวิชาชีพ เทคนิค และธุรกิจอื่นๆ ซึ่งมิได้จัดประเภทไว้ในที่อื่น</t>
  </si>
  <si>
    <t>บริการรักษาสัตว์</t>
  </si>
  <si>
    <t>บริการรักษาสัตว์เลี้ยง</t>
  </si>
  <si>
    <t>บริการรักษาสัตว์สำหรับปศุสัตว์</t>
  </si>
  <si>
    <t>บริการรักษาสัตว์อื่นๆ</t>
  </si>
  <si>
    <t>N</t>
  </si>
  <si>
    <t>บริการบริหารและบริการสนับสนุน</t>
  </si>
  <si>
    <t>บริการให้เช่า</t>
  </si>
  <si>
    <t>บริการให้เช่ายานยนต์</t>
  </si>
  <si>
    <t>บริการให้เช่ายานยนต์ชนิดนั่งส่วนบุคคล รถกระบะ รถตู้ และรถขนาดเล็กที่คล้ายกัน</t>
  </si>
  <si>
    <t xml:space="preserve">บริการให้เช่ายานยนต์ชนิดนั่งส่วนบุคคล รถกระบะ รถตู้ และรถขนาดเล็กที่คล้ายกัน  </t>
  </si>
  <si>
    <t>บริการให้เช่ายานยนต์ชนิดรถบรรทุกและยานยนต์หนักอื่นๆ</t>
  </si>
  <si>
    <t>บริการให้เช่ายานยนต์เพื่อการขนส่งสินค้า</t>
  </si>
  <si>
    <t>บริการให้เช่ายานยนต์ชนิดรถบรรทุกและยานยนต์หนักอื่นๆ ซึ่งมิได้จัดประเภทไว้ในที่อื่น</t>
  </si>
  <si>
    <t>บริการให้เช่าของใช้ส่วนบุคคลและของใช้ในครัวเรือน</t>
  </si>
  <si>
    <t>บริการให้เช่าเครื่องอุปกรณ์เพื่อการนันทนาการและการกีฬา</t>
  </si>
  <si>
    <t>บริการให้เช่าสื่อบันทึกเสียงและภาพ</t>
  </si>
  <si>
    <t>บริการให้เช่าของใช้ส่วนบุคคลและของใช้ในครัวเรือนอื่นๆ</t>
  </si>
  <si>
    <t>บริการให้เช่าหนังสือ</t>
  </si>
  <si>
    <t>บริการให้เช่าของใช้ส่วนบุคคลและของใช้ในครัวเรือนอื่นๆ ซึ่งมิได้จัดประเภทไว้ในที่อื่น</t>
  </si>
  <si>
    <t>บริการให้เช่าโทรทัศน์ วิทยุ เครื่องบันทึกเทปวีดิโอ อุปกรณ์ที่เกี่ยวข้อง และอุปกรณ์ประกอบ</t>
  </si>
  <si>
    <t>บริการให้เช่าเฟอร์นิเจอร์และเครื่องใช้ในครัวเรือนอื่นๆ</t>
  </si>
  <si>
    <t>บริการให้เช่าเครื่องดนตรี</t>
  </si>
  <si>
    <t>บริการให้เช่าผ้าชนิดใช้ในครัวเรือน</t>
  </si>
  <si>
    <t>บริการให้เช่าสิ่งทอ เสื้อผ้า และรองเท้า</t>
  </si>
  <si>
    <t xml:space="preserve">บริการให้เช่าเครื่องจักรและเครื่องอุปกรณ์ที่สามารถนำไปใช้งานได้ด้วยตนเอง  </t>
  </si>
  <si>
    <t>บริการให้เช่าเครื่องจักร อุปกรณ์ และสินค้าที่จับต้องได้อื่นๆ</t>
  </si>
  <si>
    <t>บริการให้เช่าเครื่องอุปกรณ์การขนส่งทางบก (ยกเว้นยานยนต์)</t>
  </si>
  <si>
    <t>บริการให้เช่ายานพาหนะที่วิ่งบนราง</t>
  </si>
  <si>
    <t>บริการให้เช่าจักรยานยนต์ รถคาราวาน และรถที่ใช้สำหรับพักแรม</t>
  </si>
  <si>
    <t>บริการให้เช่าเครื่องอุปกรณ์การขนส่งน้ำ</t>
  </si>
  <si>
    <t>บริการให้เช่าเครื่องอุปกรณ์การขนส่งทางน้ำ</t>
  </si>
  <si>
    <t>บริการให้เช่าเครื่องอุปกรณ์การขนส่งทางอากาศ</t>
  </si>
  <si>
    <t>บริการให้เช่าเครื่องจักรและอุปกรณ์ทางการเกษตรและการป่าไม้</t>
  </si>
  <si>
    <t>บริการให้เช่าเครื่องจักรและอุปกรณ์ในการก่อสร้างและงานวิศวกรรมโยธา</t>
  </si>
  <si>
    <t>บริการให้เช่าเครื่องจักรและอุปกรณ์สำนักงาน</t>
  </si>
  <si>
    <t>บริการให้เช่าเครื่องจักรและอุปกรณ์สำนักงาน (ยกเว้นเครื่องคอมพิวเตอร์)</t>
  </si>
  <si>
    <t>บริการให้เช่าเครื่องคอมพิวเตอร์</t>
  </si>
  <si>
    <t>บริการให้เช่าเครื่องจักร อุปกรณ์ และสินค้าที่จับต้องได้อื่นๆ ซึ่งมิได้จัดประเภทไว้ในที่อื่น</t>
  </si>
  <si>
    <t>บริการให้เช่าตู้คอนเทนเนอร์</t>
  </si>
  <si>
    <t>บริการให้เช่าเครื่องอุปกรณ์โทรคมนาคม</t>
  </si>
  <si>
    <t xml:space="preserve">บริการให้เช่าเครื่องจักร อุปกรณ์ และสินค้าที่จับต้องได้อื่นๆ ซึ่งมิได้จัดประเภทไว้ในที่อื่น </t>
  </si>
  <si>
    <t>บริการอนุญาตให้ใช้สิทธิ์ในการใช้ผลิตภัณฑ์ที่มีทรัพย์สินทางปัญญาหรือผลิตภัณฑ์ที่คล้ายกัน (ยกเว้นงานที่มีลิขสิทธิ์)</t>
  </si>
  <si>
    <t>บริการอนุญาตให้ใช้สิทธิ์ในการใช้ผลิตภัณฑ์ที่มีทรัพย์สินทางปัญญาและผลิตภัณฑ์ที่คล้ายกัน (ยกเว้นงานที่มีลิขสิทธิ์)</t>
  </si>
  <si>
    <t>บริการอนุญาตให้ใช้สิทธิ์ในการใช้ผลงานวิจัยและพัฒนา</t>
  </si>
  <si>
    <t>บริการอนุญาตให้ใช้สิทธิ์ในการใช้เครื่องหมายการค้าและแฟรนไชส์</t>
  </si>
  <si>
    <t xml:space="preserve">บริการอนุญาตให้ใช้สิทธิ์ในสัมปทานการสำรวจและประเมินแหล่งแร่  </t>
  </si>
  <si>
    <t>บริการอนุญาตให้ใช้สิทธิ์ในการใช้ผลิตภัณฑ์ที่มีทรัพย์สินทางปัญญาและผลิตภัณฑ์อื่นๆ ที่คล้ายกัน (ยกเว้นงานที่มีลิขสิทธิ์)</t>
  </si>
  <si>
    <t>บริการจ้างงาน</t>
  </si>
  <si>
    <t>บริการของสำนักงานหรือตัวแทนจัดหางาน</t>
  </si>
  <si>
    <t>บริการคัดเลือกนักแสดงภาพยนตร์ โทรทัศน์ และการแสดงอื่นๆ</t>
  </si>
  <si>
    <t>บริการของสำนักงานหรือตัวแทนจัดหางานอื่นๆ</t>
  </si>
  <si>
    <t xml:space="preserve">บริการของสำนักงานหรือตัวแทนจัดหางานอื่นๆ </t>
  </si>
  <si>
    <t>บริการสรรหาบุคลากรระดับผู้บริหาร</t>
  </si>
  <si>
    <t>บริการของสำนักงานหรือตัวแทนจัดหางานอื่นๆ ซึ่งมิได้จัดประเภทไว้ในที่อื่น</t>
  </si>
  <si>
    <t>บริการของสำนักงานหรือตัวแทนจัดหางานชั่วคราว</t>
  </si>
  <si>
    <t xml:space="preserve">บริการของสำนักงานหรือตัวแทนจัดหางานชั่วคราว   </t>
  </si>
  <si>
    <t>บริการของสำนักงานหรือตัวแทนจัดหางานชั่วคราวในการสรรหาบุคลากรสาขาคอมพิวเตอร์และโทรคมนาคม</t>
  </si>
  <si>
    <t>บริการของสำนักงานหรือตัวแทนจัดหางานชั่วคราวในการสรรหาบุคลากรที่สนับสนุนการทำงานในสำนักงานอื่นๆ</t>
  </si>
  <si>
    <t>บริการของสำนักงานหรือตัวแทนจัดหางานชั่วคราวในการสรรหาบุคลากรสาขาธุรกิจและการค้า</t>
  </si>
  <si>
    <t>บริการของสำนักงานหรือตัวแทนจัดหางานชั่วคราวในการสรรหาบุคลากรสาขาการขนส่ง คลังสินค้า โลจิสติกส์ หรืออุตสาหกรรม</t>
  </si>
  <si>
    <t>บริการของสำนักงานหรือตัวแทนจัดหางานชั่วคราวในการสรรหาบุคลากรสาขาโรงแรมและภัตตาคาร</t>
  </si>
  <si>
    <t>บริการของสำนักงานหรือตัวแทนจัดหางานชั่วคราวในการสรรหาบุคลากรทางการแพทย์</t>
  </si>
  <si>
    <t>บริการของสำนักงานหรือตัวแทนจัดหางานชั่วคราวในการสรรหาบุคลากรสาขาอื่นๆ</t>
  </si>
  <si>
    <t>บริการจัดหาทรัพยากรบุคคลอื่นๆ</t>
  </si>
  <si>
    <t xml:space="preserve">บริการจัดหาทรัพยากรบุคคลอื่นๆ   </t>
  </si>
  <si>
    <t>บริการจัดหาทรัพยากรบุคคลอื่นๆ สาขาคอมพิวเตอร์และโทรคมนาคม</t>
  </si>
  <si>
    <t>บริการจัดหาทรัพยากรบุคคลอื่นๆ ที่สนับสนุนการทำงานในสำนักงานอื่นๆ</t>
  </si>
  <si>
    <t>บริการจัดหาทรัพยากรบุคคลอื่นๆ สาขาธุรกิจและการค้า</t>
  </si>
  <si>
    <t>บริการจัดหาทรัพยากรบุคคลอื่นๆ สาขาการขนส่ง คลังสินค้า โลจิสติกส์ หรืออุตสาหกรรม</t>
  </si>
  <si>
    <t>บริการจัดหาทรัพยากรบุคคลอื่นๆ สาขาโรงแรมและภัตตาคาร</t>
  </si>
  <si>
    <t>บริการจัดหาทรัพยากรบุคคลอื่นๆ ทางการแพทย์</t>
  </si>
  <si>
    <t>บริการจัดหาทรัพยากรบุคคลอื่นๆ ซึ่งมิได้จัดประเภทไว้ในที่อื่น</t>
  </si>
  <si>
    <t>บริการของตัวแทนธุรกิจท่องเที่ยว บริการจัดนำเที่ยว บริการสำรอง และบริการที่เกี่ยวข้อง</t>
  </si>
  <si>
    <t xml:space="preserve">ริการของตัวแทนธุรกิจท่องเที่ยวและจัดนำเที่ยว </t>
  </si>
  <si>
    <t>บริการของตัวแทนธุรกิจท่องเที่ยว</t>
  </si>
  <si>
    <t>บริการของตัวแทนธุรกิจท่องเที่ยวที่ให้บริการสำรองการเดินทาง</t>
  </si>
  <si>
    <t>บริการสำรองการเดินทางโดยเครื่องบิน</t>
  </si>
  <si>
    <t>บริการสำรองการเดินทางโดยรถไฟ</t>
  </si>
  <si>
    <t>บริการสำรองการเดินทางโดยรถโดยสาร</t>
  </si>
  <si>
    <t>บริการสำรองการเดินทางโดยรถเช่า</t>
  </si>
  <si>
    <t>บริการของตัวแทนธุรกิจท่องเที่ยวที่ให้บริการสำรองการเดินทางอื่นๆ</t>
  </si>
  <si>
    <t>บริการของตัวแทนธุรกิจท่องเที่ยวที่ให้บริการสำรองที่พัก การล่องเรือ และโปรแกรมนำเที่ยวสำเร็จรูป</t>
  </si>
  <si>
    <t>บริการสำรองที่พัก</t>
  </si>
  <si>
    <t>บริการสำรองการล่องเรือ</t>
  </si>
  <si>
    <t>บริการสำรองโปรแกรมนำเที่ยวสำเร็จรูป</t>
  </si>
  <si>
    <t>บริการจัดนำเที่ยว</t>
  </si>
  <si>
    <t>บริการจัดโปรแกรมนำเที่ยว</t>
  </si>
  <si>
    <t>บริการของผู้จัดนำเที่ยว</t>
  </si>
  <si>
    <t>บริการสำรองอื่นๆ และบริการที่เกี่ยวข้อง</t>
  </si>
  <si>
    <t>บริการของมัคคุเทศก์</t>
  </si>
  <si>
    <t>บริการสำรองอื่นๆ และบริการที่เกี่ยวข้อง ซึ่งมิได้จัดประเภทไว้ในที่อื่น</t>
  </si>
  <si>
    <t>บริการส่งเสริมการท่องเที่ยวและบริการข้อมูลข่าวสารแก่นักท่องเที่ยว</t>
  </si>
  <si>
    <t>บริการส่งเสริมการท่องเที่ยว</t>
  </si>
  <si>
    <t>บริการข้อมูลข่าวสารแก่นักท่องเที่ยว</t>
  </si>
  <si>
    <t>บริการธุรกิจการจัดสรรแบ่งเวลาในการเข้าใช้ที่พัก</t>
  </si>
  <si>
    <t>บริการสำรองศูนย์ประชุมและสถานที่จัดแสดงสินค้า</t>
  </si>
  <si>
    <t xml:space="preserve">บริการสำรองตั๋วเข้าชมงาน บริการเพื่อความบันเทิงและนันทนาการ และบริการสำรองอื่นๆ ซึ่งมิได้จัดประเภทไว้ในที่อื่น </t>
  </si>
  <si>
    <t>บริการรักษาความปลอดภัยและบริการสืบสวน</t>
  </si>
  <si>
    <t>บริการรักษาความปลอดภัยส่วนบุคคล</t>
  </si>
  <si>
    <t>บริการรถหุ้มเกราะ</t>
  </si>
  <si>
    <t>บริการผู้คุ้มกัน</t>
  </si>
  <si>
    <t>บริการรักษาความปลอดภัยอื่นๆ</t>
  </si>
  <si>
    <t>บริการระบบรักษาความปลอดภัย</t>
  </si>
  <si>
    <t>บริการสืบสวน</t>
  </si>
  <si>
    <t>บริการสำหรับอาคารและภูมิทัศน์</t>
  </si>
  <si>
    <t>บริการสนับสนุนการอำนวยความสะดวกแบบเบ็ดเสร็จ</t>
  </si>
  <si>
    <t>บริการทำความสะอาด</t>
  </si>
  <si>
    <t>บริการทำความสะอาดทั่วไปสำหรับอาคาร</t>
  </si>
  <si>
    <t>บริการทำความสะอาดสำหรับอาคารและอุตสาหกรรมอื่นๆ</t>
  </si>
  <si>
    <t>บริการทำความสะอาดพื้นผิวภายนอกอาคาร</t>
  </si>
  <si>
    <t>บริการทำความสะอาดภายในที่ใช้ความชำนาญเฉพาะด้าน</t>
  </si>
  <si>
    <t>บริการทำความสะอาดเฉพาะด้าน</t>
  </si>
  <si>
    <t>บริการทำความสะอาดเตาไฟและปล่องไฟ</t>
  </si>
  <si>
    <t>บริการฆ่าเชื้อและกำจัด</t>
  </si>
  <si>
    <t>บริการทำความสะอาดสำหรับอาคารและอุตสาหกรรมอื่นๆ ซึ่งมิได้จัดประเภทไว้ในที่อื่น</t>
  </si>
  <si>
    <t>บริการสุขอนามัยอื่นๆ</t>
  </si>
  <si>
    <t>บริการดูแลและบำรุงรักษาภูมิทัศน์</t>
  </si>
  <si>
    <t>บริการด้านการบริหารและสนับสนุนการดำเนินงานของสำนักงาน และบริการอื่นๆ ที่สนับสนุนทางธุรกิจ</t>
  </si>
  <si>
    <t>บริการด้านการบริหารและสนับสนุนการดำเนินงานของสำนักงาน</t>
  </si>
  <si>
    <t>บริการด้านการบริหารสำนักงานแบบเบ็ดเสร็จ</t>
  </si>
  <si>
    <t>บริการถ่ายเอกสาร บริการเตรียมเอกสาร และบริการเฉพาะด้านอื่นๆ ที่สนับสนุนการดำเนินงานสำนักงาน</t>
  </si>
  <si>
    <t>บริการถ่ายเอกสาร</t>
  </si>
  <si>
    <t>บริการเตรียมเอกสารและบริการเฉพาะด้านอื่นๆ ที่สนับสนุนการดำเนินงานสำนักงาน</t>
  </si>
  <si>
    <t xml:space="preserve">บริการเตรียมเอกสารและบริการเฉพาะด้านอื่นๆ ที่สนับสนุนการดำเนินงานสำนักงาน </t>
  </si>
  <si>
    <t xml:space="preserve">บริการรวบรวมรายชื่อที่จะจัดส่งทางไปรษณีย์และจัดส่งทางไปรษณีย์  </t>
  </si>
  <si>
    <t>บริการเตรียมเอกสารและบริการเฉพาะด้านอื่นๆ ที่สนับสนุนการดำเนินงานสำนักงาน ซึ่งมิได้จัดประเภทไว้ในที่อื่น</t>
  </si>
  <si>
    <t>บริการของศูนย์บริการลูกค้าทางโทรศัพท์</t>
  </si>
  <si>
    <t>บริการจัดการประชุมและแสดงสินค้า</t>
  </si>
  <si>
    <t>บริการจัดการประชุม</t>
  </si>
  <si>
    <t>บริการจัดการแสดงสินค้า</t>
  </si>
  <si>
    <t>บริการสนับสนุนทางธุรกิจ ซึ่งมิได้จัดประเภทไว้ในที่อื่น</t>
  </si>
  <si>
    <t>บริการของตัวแทนจัดเก็บเงินและบริการข้อมูลเครดิต</t>
  </si>
  <si>
    <t>บริการของตัวแทนจัดเก็บเงิน</t>
  </si>
  <si>
    <t>บริการข้อมูลเครดิต</t>
  </si>
  <si>
    <t>บริการบรรจุหีบห่อ</t>
  </si>
  <si>
    <t>บริการอื่นๆ ที่สนับสนุนทางธุรกิจ ซึ่งมิได้จัดประเภทไว้ในที่อื่น</t>
  </si>
  <si>
    <t>บริการจดบันทึกรายงานแบบคำต่อคำและบันทึกชวเลข</t>
  </si>
  <si>
    <t>บริการสนับสนุนที่ดำเนินงานผ่านทางโทรศัพท์ (ยกเว้นบริการของศูนย์บริการลูกค้าทางโทรศัพท์)</t>
  </si>
  <si>
    <t>O</t>
  </si>
  <si>
    <t>บริการบริหารราชการ บริการป้องกันประเทศ และบริการประกันสังคมภาคบังคับ</t>
  </si>
  <si>
    <t>บริการบริหารราชการและนโยบายทางด้านเศรษฐกิจและสังคมของชุมชน</t>
  </si>
  <si>
    <t>บริการบริหารราชการทั่วไป</t>
  </si>
  <si>
    <t>บริการบริหารราชการโดยรวม</t>
  </si>
  <si>
    <t>บริการของฝ่ายบริหารและฝ่ายนิติบัญญัติ</t>
  </si>
  <si>
    <t>บริการด้านการเงินและการคลัง</t>
  </si>
  <si>
    <t>บริการด้านการวางแผนทางด้านเศรษฐกิจและสังคมโดยรวมและบริการข้อมูลสถิติ</t>
  </si>
  <si>
    <t>บริการด้านการวิจัยองค์ความรู้พื้นฐานของรัฐ</t>
  </si>
  <si>
    <t>บริการบริหารราชการโดยรวมอื่นๆ</t>
  </si>
  <si>
    <t>บริการที่ส่งเสริมภาครัฐโดยรวม</t>
  </si>
  <si>
    <t>บริการด้านบุคลากรทั่วไปสำหรับภาครัฐ</t>
  </si>
  <si>
    <t>บริการอื่นๆ ที่ส่งเสริมภาครัฐโดยรวม</t>
  </si>
  <si>
    <t>บริการกำหนดกฎเกณฑ์เกี่ยวกับกิจกรรมการให้บริการด้านสุขภาพ การศึกษา วัฒนธรรม และบริการทางสังคมอื่นๆ (ยกเว้นการประกันสังคม)</t>
  </si>
  <si>
    <t>บริการกำหนดกฎเกณฑ์เกี่ยวกับกิจกรรมการให้บริการด้านการศึกษา</t>
  </si>
  <si>
    <t>บริการกำหนดกฎเกณฑ์เกี่ยวกับกิจกรรมการให้บริการด้านสุขภาพ</t>
  </si>
  <si>
    <t>บริการกำหนดกฎเกณฑ์เกี่ยวกับกิจกรรมการให้บริการด้านการเคหะ ชุมชน และสิ่งแวดล้อม</t>
  </si>
  <si>
    <t>บริการกำหนดกฎเกณฑ์ของกิจกรรมการให้บริการด้านกีฬา นันทนาการ วัฒนธรรม และศาสนา</t>
  </si>
  <si>
    <t>บริการกำหนดกฎเกณฑ์และสนับสนุนเพื่อเพิ่มประสิทธิภาพการดำเนินงานทางธุรกิจ</t>
  </si>
  <si>
    <t>บริการกำหนดกฎเกณฑ์และสนับสนุนเพื่อเพิ่มประสิทธิภาพการดำเนินงานด้านการเกษตร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</si>
  <si>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บริการกำหนดกฎเกณฑ์และการสนับสนุนเพื่อเพิ่มประสิทธิภาพการดำเนินงานด้านการเกษตร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</si>
  <si>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บริการกำหนดกฎเกณฑ์และสนับสนุนเพื่อเพิ่มประสิทธิภาพการดำเนินงานด้านเชื้อเพลิงและพลังงาน</t>
  </si>
  <si>
    <t>บริการกำหนดกฎเกณฑ์และการสนับสนุนเพื่อเพิ่มประสิทธิภาพการดำเนินงานด้านเชื้อเพลิงและพลังงาน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</si>
  <si>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บริการกำหนดกฎเกณฑ์และสนับสนุนเพื่อเพิ่มประสิทธิภาพการดำเนินงานด้านการทำเหมืองแร่ การผลิต และการก่อสร้าง</t>
  </si>
  <si>
    <t>บริการกำหนดกฎเกณฑ์และการสนับสนุนเพื่อเพิ่มประสิทธิภาพการดำเนินงานด้านการทำเหมืองแร่ การผลิต และการก่อสร้าง</t>
  </si>
  <si>
    <t>บริการกำหนดกฎเกณฑ์และสนับสนุนเพื่อเพิ่มประสิทธิภาพการดำเนินงานด้านการขนส่งและโทรคมนาคม</t>
  </si>
  <si>
    <t>บริการกำหนดกฎเกณฑ์และการสนับสนุนเพื่อเพิ่มประสิทธิภาพการดำเนินงานด้านการขนส่งและโทรคมนาคม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</si>
  <si>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บริการกำหนดกฎเกณฑ์และสนับสนุนเพื่อเพิ่มประสิทธิภาพการดำเนินงานด้านการขายส่งและการขายปลีก</t>
  </si>
  <si>
    <t>บริการกำหนดกฎเกณฑ์และการสนับสนุนเพื่อเพิ่มประสิทธิภาพการดำเนินงานด้านการขายส่งและการขายปลีก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</si>
  <si>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บริการกำหนดกฎเกณฑ์และสนับสนุนเพื่อเพิ่มประสิทธิภาพการดำเนินงานด้านการท่องเที่ยวและบริการที่เกี่ยวข้อง</t>
  </si>
  <si>
    <t>บริ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</si>
  <si>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บริการกำหนดกฎเกณฑ์และการสนับสนุนเพื่อเพิ่มประสิทธิภาพการดำเนินงานด้านโรงแรมและภัตตาคาร</t>
  </si>
  <si>
    <t>บริการกำหนดกฎเกณฑ์และการสนับสนุนเพื่อเพิ่มประสิทธิภาพการดำเนินงานด้านการท่องเที่ยว</t>
  </si>
  <si>
    <t>บริการกำหนดกฎเกณฑ์และสนับสนุนเพื่อเพิ่มประสิทธิภาพการดำเนินงานทั่วไปเกี่ยวกับวิทยาศาสตร์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</si>
  <si>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บริการกำหนดกฎเกณฑ์และการสนับสนุนเพื่อเพิ่มประสิทธิภาพการดำเนินงานทั่วไปเกี่ยวกับวิทยาศาสตร์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</si>
  <si>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บริการกำหนดกฎเกณฑ์และการสนับสนุนเพื่อเพิ่มประสิทธิภาพการดำเนินงานโครงการเพื่อการพัฒนาอเนกประสงค์</t>
  </si>
  <si>
    <t>บริการแก่สังคมโดยรวม</t>
  </si>
  <si>
    <t>บริการด้านการต่างประเทศ</t>
  </si>
  <si>
    <t>บริการบริหารงานการต่างประเทศ บริการของคณะทูตและคณะกงสุลที่อยู่ประจำในต่างประเทศ</t>
  </si>
  <si>
    <t>บริการที่เกี่ยวข้องกับความช่วยเหลือด้านเศรษฐกิจระหว่างประเทศ</t>
  </si>
  <si>
    <t>บริการที่เกี่ยวข้องกับความช่วยเหลือด้านการทหารระหว่างประเทศ</t>
  </si>
  <si>
    <t>บริการป้องกันประเทศ</t>
  </si>
  <si>
    <t>บริการป้องกันประเทศโดยฝ่ายทหาร</t>
  </si>
  <si>
    <t>บริการป้องกันประเทศโดยฝ่ายพลเรือน</t>
  </si>
  <si>
    <t>บริการดูแลความสงบเรียบร้อยและความปลอดภัยของประชาชน</t>
  </si>
  <si>
    <t>บริการของตำรวจ</t>
  </si>
  <si>
    <t>บริการรักษาระเบียบและความปลอดภัยของประชาชนอื่นๆ</t>
  </si>
  <si>
    <t>บริการของศาลและบริหารงานยุติธรรม</t>
  </si>
  <si>
    <t>บริการบริหารงานของศาล</t>
  </si>
  <si>
    <t>บริการบริหารด้านการคุมขังและการลงโทษเพื่อฟื้นฟูแก้ไขผู้กระทำความผิด</t>
  </si>
  <si>
    <t>บริการอื่นๆ ในการดูแลความสงบเรียบร้อยและความปลอดภัยของประชาชน</t>
  </si>
  <si>
    <t>บริการดับเพลิงและป้องกันอัคคีภัย</t>
  </si>
  <si>
    <t>บริการของหน่วยดับเพลิงอื่นๆ</t>
  </si>
  <si>
    <t>บริการประกันสังคมภาคบังคับ</t>
  </si>
  <si>
    <t>บริการประกันสังคมภาคบังคับเกี่ยวกับสิทธิประโยชน์ที่ผู้ประกันตนจะได้รับเนื่องจากความเจ็บป่วย การคลอดบุตร หรือทุพพลภาพชั่วคราว</t>
  </si>
  <si>
    <t>บริการประกันสังคมภาคบังคับเกี่ยวกับเงินบำนาญข้าราชการ/ลูกจ้างของรัฐ (รวมถึงสิทธิประโยชน์ของผู้สูงอายุ ผู้มีภาวะทุพพลภาพ หรือ ผู้อยู่ในอุปการะที่ไม่ใช่ลูกจ้างของรัฐ)</t>
  </si>
  <si>
    <t>บริการประกันสังคมภาคบังคับเกี่ยวกับสิทธิประโยชน์เงินทดแทนจากการว่างงาน</t>
  </si>
  <si>
    <t>บริการประกันสังคมภาคบังคับเกี่ยวกับเงินสงเคราะห์ครอบครัวและบุตร</t>
  </si>
  <si>
    <t>P</t>
  </si>
  <si>
    <t>บริการด้านการศึกษา</t>
  </si>
  <si>
    <t>บริการการศึกษาระดับประถมศึกษา</t>
  </si>
  <si>
    <t>บริการการศึกษาระดับประถมศึกษาในชั้นเรียนปกติสำหรับเด็กทั่วไป</t>
  </si>
  <si>
    <t>บริการการศึกษาระดับประถมศึกษาในชั้นเรียนปกติสำหรับเด็กพิการ</t>
  </si>
  <si>
    <t>บริการการศึกษาระดับประถมศึกษาที่ไม่ได้สอนในชั้นเรียนปกติ</t>
  </si>
  <si>
    <t>บริการการศึกษาระดับประถมศึกษาที่สอนผ่านทางออนไลน์</t>
  </si>
  <si>
    <t>บริการการศึกษาระดับประถมศึกษาที่ไม่ได้สอนในชั้นเรียนปกติ (ยกเว้นที่สอนผ่านทางออนไลน์)</t>
  </si>
  <si>
    <t>บริการการศึกษาระดับมัธยมศึกษา</t>
  </si>
  <si>
    <t>บริการการศึกษาระดับมัธยมศึกษาประเภทสามัญศึกษา</t>
  </si>
  <si>
    <t>บริการการศึกษาระดับมัธยมศึกษาประเภทสามัญศึกษาในชั้นเรียนปกติสำหรับบุคคลทั่วไป</t>
  </si>
  <si>
    <t>บริการการศึกษาระดับมัธยมศึกษาตอนต้นประเภทสามัญศึกษาในชั้นเรียนปกติสำหรับบุคคลทั่วไป</t>
  </si>
  <si>
    <t>บริการการศึกษาระดับมัธยมศึกษาตอนปลายประเภทสามัญศึกษาในชั้นเรียนปกติสำหรับบุคคลทั่วไป</t>
  </si>
  <si>
    <t>บริการการศึกษาระดับมัธยมศึกษาประเภทสามัญศึกษาในชั้นเรียนปกติสำหรับผู้พิการ</t>
  </si>
  <si>
    <t>บริการการศึกษาระดับมัธยมศึกษาตอนต้นประเภทสามัญศึกษาในชั้นเรียนปกติสำหรับผู้พิการ</t>
  </si>
  <si>
    <t>บริการการศึกษาระดับมัธยมศึกษาตอนปลายประเภทสามัญศึกษาในชั้นเรียนปกติสำหรับผู้พิการ</t>
  </si>
  <si>
    <t>บริการการศึกษาระดับมัธยมศึกษาประเภทสามัญศึกษาที่ไม่ได้สอนในชั้นเรียนปกติ</t>
  </si>
  <si>
    <t>บริการการศึกษาระดับมัธยมศึกษาตอนต้นประเภทสามัญศึกษาที่สอนผ่านทางออนไลน์</t>
  </si>
  <si>
    <t>บริการการศึกษาระดับมัธยมศึกษาตอนต้นประเภทสามัญศึกษาที่ไม่ได้สอนในชั้นเรียนปกติ (ยกเว้นที่สอนผ่านทางออนไลน์)</t>
  </si>
  <si>
    <t>บริการการศึกษาระดับมัธยมศึกษาตอนปลายประเภทสามัญศึกษาที่สอนผ่านทางออนไลน์</t>
  </si>
  <si>
    <t>บริการการศึกษาระดับมัธยมศึกษาตอนปลายประเภทสามัญศึกษาที่ไม่ได้สอนในชั้นเรียนปกติ (ยกเว้นที่สอนผ่านทางออนไลน์)</t>
  </si>
  <si>
    <t>บริการการศึกษาระดับมัธยมศึกษาประเภทอาชีวศึกษา</t>
  </si>
  <si>
    <t>บริการการศึกษาระดับมัธยมศึกษาประเภทอาชีวศึกษาที่สอนผ่านทางออนไลน์</t>
  </si>
  <si>
    <t>บริการการศึกษาระดับมัธยมศึกษาประเภทอาชีวศึกษา (ยกเว้นที่สอนผ่านทางออนไลน์)</t>
  </si>
  <si>
    <t>บริการการศึกษาระดับอุดมศึกษา</t>
  </si>
  <si>
    <t>บริการการศึกษาระดับอุดมศึกษาที่ต่ำกว่าปริญญาตรี</t>
  </si>
  <si>
    <t>บริการการศึกษาระดับอุดมศึกษาที่ต่ำกว่าปริญญาตรีประเภทสามัญศึกษาที่สอนผ่านทางออนไลน์</t>
  </si>
  <si>
    <t>บริการการศึกษาระดับอุดมศึกษาที่ต่ำกว่าปริญญาตรีประเภทสามัญศึกษา (ยกเว้นที่สอนผ่านทางออนไลน์)</t>
  </si>
  <si>
    <t>บริการการศึกษาระดับอุดมศึกษาที่ต่ำกว่าปริญญาตรีประเภทอาชีวศึกษาที่สอนผ่านทางออนไลน์</t>
  </si>
  <si>
    <t>บริการการศึกษาระดับอุดมศึกษาที่ต่ำกว่าปริญญาตรีประเภทอาชีวศึกษา (ยกเว้นที่สอนผ่านทางออนไลน์)</t>
  </si>
  <si>
    <t>บริการการศึกษาระดับปริญญาตรี</t>
  </si>
  <si>
    <t>บริการการศึกษาระดับปริญญาตรีที่สอนผ่านทางออนไลน์</t>
  </si>
  <si>
    <t>บริการการศึกษาระดับปริญญาตรี (ยกเว้นที่สอนผ่านทางออนไลน์)</t>
  </si>
  <si>
    <t>บริการการศึกษาระดับปริญญาโทขึ้นไป</t>
  </si>
  <si>
    <t>บริการการศึกษาระดับปริญญาโทที่สอนผ่านทางออนไลน์</t>
  </si>
  <si>
    <t>บริการการศึกษาระดับปริญญาโท (ยกเว้นที่สอนผ่านทางออนไลน์)</t>
  </si>
  <si>
    <t>บริการการศึกษาระดับปริญญาเอกที่สอนผ่านทางออนไลน์</t>
  </si>
  <si>
    <t>บริการการศึกษาระดับปริญญาเอก (ยกเว้นที่สอนผ่านทางออนไลน์)</t>
  </si>
  <si>
    <t>บริการการศึกษาประเภทอื่นๆ</t>
  </si>
  <si>
    <t>บริการการศึกษาด้านกีฬาและนันทนาการ</t>
  </si>
  <si>
    <t>บริการการศึกษาด้านวัฒนธรรม</t>
  </si>
  <si>
    <t>บริการการเรียนการสอนเต้นรำ</t>
  </si>
  <si>
    <t>บริการการเรียนการสอนดนตรี</t>
  </si>
  <si>
    <t>บริการการเรียนการสอนศิลปะ</t>
  </si>
  <si>
    <t>บริการการศึกษาด้านวัฒนธรรมอื่นๆ</t>
  </si>
  <si>
    <t>บริการการศึกษาประเภทอื่นๆ ซึ่งมิได้จัดประเภทไว้ในที่อื่น</t>
  </si>
  <si>
    <t>บริการการเรียนการสอนภาษา</t>
  </si>
  <si>
    <t xml:space="preserve">บริการการเรียนการสอนภาษา  </t>
  </si>
  <si>
    <t>บริการการเรียนการสอนเทคโนโลยีสารสนเทศ</t>
  </si>
  <si>
    <t>บริการกวดวิชาทั่วไป</t>
  </si>
  <si>
    <t xml:space="preserve">บริการกวดวิชาทั่วไป  </t>
  </si>
  <si>
    <t>บริการการเรียนการสอนตัดเสื้อผ้าและเสริมสวย</t>
  </si>
  <si>
    <t>บริการการเรียนการสอนสปาบำบัด</t>
  </si>
  <si>
    <t xml:space="preserve">บริการการเรียนการสอนสปาบำบัด  </t>
  </si>
  <si>
    <t>บริการการเรียนการสอนนวด</t>
  </si>
  <si>
    <t xml:space="preserve">บริการการเรียนการสอนนวด  </t>
  </si>
  <si>
    <t>บริการการเรียนการสอนขับขี่</t>
  </si>
  <si>
    <t>บริการการเรียนการสอนขับขี่รถ</t>
  </si>
  <si>
    <t xml:space="preserve">บริการการเรียนการสอนการบินและเดินเรือ  </t>
  </si>
  <si>
    <t>บริการการศึกษาเพื่อประกอบวิชาชีพ ซึ่งมิได้จัดประเภทไว้ในที่อื่น</t>
  </si>
  <si>
    <t xml:space="preserve">บริการการศึกษาประเภทอื่นๆ ซึ่งมิได้จัดประเภทไว้ในที่อื่น  </t>
  </si>
  <si>
    <t>บริการที่สนับสนุนการศึกษา</t>
  </si>
  <si>
    <t>บริการการศึกษาระดับก่อนประถมศึกษา</t>
  </si>
  <si>
    <t>บริการการศึกษาระดับก่อนประถมศึกษาสำหรับเด็กทั่วไป</t>
  </si>
  <si>
    <t>บริการการศึกษาระดับก่อนประถมศึกษาสำหรับเด็กพิการ</t>
  </si>
  <si>
    <t>Q</t>
  </si>
  <si>
    <t>บริการด้านสุขภาพและงานสังคมสงเคราะห์</t>
  </si>
  <si>
    <t>บริการด้านสุขภาพมนุษย์</t>
  </si>
  <si>
    <t>บริการของโรงพยาบาล</t>
  </si>
  <si>
    <t>บริการของโรงพยาบาล (ยกเว้นโรงพยาบาลเฉพาะทาง)</t>
  </si>
  <si>
    <t>บริการด้านศัลยกรรมของโรงพยาบาล (ยกเว้นโรงพยาบาลเฉพาะทาง)</t>
  </si>
  <si>
    <t>บริการด้านสูตินรีเวชกรรมและบริการคลอดบุตรของโรงพยาบาล (ยกเว้นโรงพยาบาลเฉพาะทาง)</t>
  </si>
  <si>
    <t>บริการด้านการฟื้นฟูผู้ป่วยของโรงพยาบาล (ยกเว้นโรงพยาบาลเฉพาะทาง)</t>
  </si>
  <si>
    <t>บริการด้านจิตเวชของโรงพยาบาล (ยกเว้นโรงพยาบาลเฉพาะทาง)</t>
  </si>
  <si>
    <t>บริการด้านอื่นๆ โดยแพทย์ของโรงพยาบาล (ยกเว้นโรงพยาบาลเฉพาะทาง)</t>
  </si>
  <si>
    <t xml:space="preserve">บริการอื่นๆ ของโรงพยาบาล (ยกเว้นโรงพยาบาลเฉพาะทาง) </t>
  </si>
  <si>
    <t>บริการของโรงพยาบาลเฉพาะทาง</t>
  </si>
  <si>
    <t>บริการด้านศัลยกรรมของโรงพยาบาลเฉพาะทาง</t>
  </si>
  <si>
    <t>บริการด้านสูตินรีเวชกรรมและบริการคลอดบุตรของโรงพยาบาลเฉพาะทาง</t>
  </si>
  <si>
    <t>บริการด้านการฟื้นฟูผู้ป่วยของโรงพยาบาลเฉพาะทาง</t>
  </si>
  <si>
    <t>บริการด้านจิตเวชของโรงพยาบาลเฉพาะทาง</t>
  </si>
  <si>
    <t>บริการด้านอื่นๆ โดยแพทย์ของโรงพยาบาลเฉพาะทาง</t>
  </si>
  <si>
    <t>บริการอื่นๆ ของโรงพยาบาลเฉพาะทาง</t>
  </si>
  <si>
    <t>บริการทางการแพทย์และทันตกรรม</t>
  </si>
  <si>
    <t>บริการของคลินิกโรคทั่วไป</t>
  </si>
  <si>
    <t>บริการของคลินิกโรคเฉพาะทาง</t>
  </si>
  <si>
    <t>บริการวินิจฉัยและการแปลผลภาพทางการแพทย์</t>
  </si>
  <si>
    <t>บริการของคลินิกโรคเฉพาะทางอื่นๆ</t>
  </si>
  <si>
    <t>บริการทางทันตกรรม</t>
  </si>
  <si>
    <t>บริการด้านทันตกรรมจัดฟัน</t>
  </si>
  <si>
    <t>บริการทางทันตกรรมอื่นๆ</t>
  </si>
  <si>
    <t>บริการอื่นๆ ด้านสุขภาพมนุษย์</t>
  </si>
  <si>
    <t>บริการด้านการพยาบาลและผดุงครรภ์</t>
  </si>
  <si>
    <t>บริการด้านการผดุงครรภ์</t>
  </si>
  <si>
    <t>บริการด้านการพยาบาล</t>
  </si>
  <si>
    <t>บริการด้านกายภาพบำบัด</t>
  </si>
  <si>
    <t>บริการของห้องปฏิบัติการทางการแพทย์</t>
  </si>
  <si>
    <t>บริการวินิจฉัยภาพทางการแพทย์ ที่ไม่มีการแปลผล</t>
  </si>
  <si>
    <t>บริการอื่นๆ ด้านสุขภาพมนุษย์ ซึ่งมิได้จัดประเภทไว้ในที่อื่น</t>
  </si>
  <si>
    <t>บริการของรถพยาบาล</t>
  </si>
  <si>
    <t>บริการของธนาคารเลือด ธนาคารอสุจิ และธนาคารปลูกถ่ายอวัยวะ</t>
  </si>
  <si>
    <t>บริการด้านสุขภาพจิต</t>
  </si>
  <si>
    <t>บริการให้การดูแลที่ให้ที่พัก</t>
  </si>
  <si>
    <t>บริการของสถานบริการด้านการพยาบาลที่ให้ที่พัก</t>
  </si>
  <si>
    <t>บริการให้การดูแลที่ให้ที่พักแก่ผู้พิการทางสติปัญญา ผู้มีปัญหาสุขภาพจิต และผู้ติดยาเสพติด</t>
  </si>
  <si>
    <t>บริการให้การดูแลที่ให้ที่พักแก่ผู้พิการทางสติปัญญา</t>
  </si>
  <si>
    <t xml:space="preserve">บริการให้การดูแลที่ให้ที่พักแก่เด็กที่พิการทางสติปัญญา </t>
  </si>
  <si>
    <t xml:space="preserve">บริการให้การดูแลที่ให้ที่พักแก่ผู้ใหญ่ที่พิการทางสติปัญญา </t>
  </si>
  <si>
    <t>บริการให้การดูแลที่ให้ที่พักแก่ผู้มีปัญหาสุขภาพจิต</t>
  </si>
  <si>
    <t>บริการให้การดูแลที่ให้ที่พักแก่เด็กที่มีปัญหาสุขภาพจิต</t>
  </si>
  <si>
    <t>บริการให้การดูแลที่ให้ที่พักแก่ผู้ใหญ่ที่มีปัญหาสุขภาพจิต</t>
  </si>
  <si>
    <t>บริการให้การดูแลที่ให้ที่พักแก่ผู้ติดยาเสพติด</t>
  </si>
  <si>
    <t>บริการให้การดูแลที่ให้ที่พักแก่เด็กที่ติดยาเสพติด</t>
  </si>
  <si>
    <t>บริการให้การดูแลที่ให้ที่พักแก่ผู้ใหญ่ที่ติดยาเสพติด</t>
  </si>
  <si>
    <t>บริการให้การดูแลที่ให้ที่พักแก่ผู้สูงอายุและผู้พิการ</t>
  </si>
  <si>
    <t>บริการให้การดูแลที่ให้ที่พักแก่ผู้สูงอายุ</t>
  </si>
  <si>
    <t>บริการให้การดูแลที่ให้ที่พักแก่เด็กและเยาวชนที่พิการ</t>
  </si>
  <si>
    <t>บริการให้การดูแลที่ให้ที่พักแก่ผู้ใหญ่ที่พิการ</t>
  </si>
  <si>
    <t>บริการให้การดูแลที่ให้ที่พักแก่บุคคลอื่นๆ</t>
  </si>
  <si>
    <t>บริการให้การดูแลที่ให้ที่พักแก่เด็กและเยาวชน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</si>
  <si>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บริการให้การดูแลที่ให้ที่พักแก่หญิงที่ประสบปัญหาทางสังคม</t>
  </si>
  <si>
    <t>บริการให้การดูแลที่ให้ที่พักแก่บุคคลอื่นๆ ซึ่งมิได้จัดประเภทไว้ในที่อื่น</t>
  </si>
  <si>
    <t>บริการสังคมสงเคราะห์ที่ไม่ให้ที่พัก</t>
  </si>
  <si>
    <t>บริการสังคมสงเคราะห์ที่ไม่ให้ที่พักแก่ผู้สูงอายุและผู้พิการ</t>
  </si>
  <si>
    <t>บริการสังคมสงเคราะห์ที่ไม่ให้ที่พักแก่ผู้สูงอายุ</t>
  </si>
  <si>
    <t>บริการเยี่ยมเยียนและช่วยเหลือผู้สูงอายุตามบ้าน</t>
  </si>
  <si>
    <t>บริการของศูนย์ดูแลผู้สูงอายุในเวลากลางวัน</t>
  </si>
  <si>
    <t>บริการสังคมสงเคราะห์ที่ไม่ให้ที่พักแก่ผู้พิการ</t>
  </si>
  <si>
    <t>บริการฟื้นฟูอาชีพแก่ผู้พิการ</t>
  </si>
  <si>
    <t>บริการเยี่ยมเยียนและช่วยเหลือผู้พิการตามบ้าน</t>
  </si>
  <si>
    <t>บริการของศูนย์ดูแลผู้พิการในเวลากลางวัน</t>
  </si>
  <si>
    <t>บริการสังคมสงเคราะห์อื่นๆ ที่ไม่ให้ที่พัก</t>
  </si>
  <si>
    <t>บริการดูแลเด็กเวลากลางวัน</t>
  </si>
  <si>
    <t>บริการดูแลเด็กเวลากลางวัน (ยกเว้นบริการดูแลผู้พิการเวลากลางวัน)</t>
  </si>
  <si>
    <t xml:space="preserve">บริการดูแลเด็กและเยาวชนที่พิการเวลากลางวัน  </t>
  </si>
  <si>
    <t>บริการรับเลี้ยงเด็ก</t>
  </si>
  <si>
    <t>บริการสังคมสงเคราะห์อื่นๆ ที่ไม่ให้ที่พัก ซึ่งมิได้จัดประเภทไว้ในที่อื่น</t>
  </si>
  <si>
    <t>บริการแนะแนวและให้คำปรึกษาที่เกี่ยวข้องกับเด็ก ซึ่งมิได้จัดประเภทไว้ในที่อื่น</t>
  </si>
  <si>
    <t>บริการดูแลที่ไม่ให้ที่พัก</t>
  </si>
  <si>
    <t>บริการฟื้นฟูอาชีพสำหรับผู้ว่างงาน</t>
  </si>
  <si>
    <t>R</t>
  </si>
  <si>
    <t>บริการด้านศิลปะ ความบันเทิง และนันทนาการ</t>
  </si>
  <si>
    <t>บริการสร้างสรรค์ศิลปะและความบันเทิง</t>
  </si>
  <si>
    <t>บริการสร้างสรรค์ศิลปะ</t>
  </si>
  <si>
    <t>บริการของนักเขียน นักประพันธ์เพลง ประติมากร และศิลปินอื่นๆ (ยกเว้นศิลปินด้านความบันเทิง)</t>
  </si>
  <si>
    <t>ต้นฉบับของนักเขียน นักประพันธ์เพลง และศิลปินอื่นๆ (ยกเว้น ศิลปินด้านความบันเทิง จิตรกร ศิลปินงานกราฟฟิก และประติมากร)</t>
  </si>
  <si>
    <t>ต้นฉบับของจิตรกร ศิลปินงานกราฟฟิก และประติมากร</t>
  </si>
  <si>
    <t>บริการดำเนินการเกี่ยวกับสิ่งอำนวยความสะดวกด้านศิลปะ</t>
  </si>
  <si>
    <t>บริการด้านความบันเทิง</t>
  </si>
  <si>
    <t>บริการของศิลปินด้านความบันเทิง</t>
  </si>
  <si>
    <t>บริการสนับสนุนด้านความบันเทิง</t>
  </si>
  <si>
    <t>บริการผลิตและแสดงงานด้านความบันเทิง</t>
  </si>
  <si>
    <t>บริการส่งเสริมและจัดงานแสดงด้านความบันเทิง</t>
  </si>
  <si>
    <t>บริการอื่นๆ ที่สนับสนุนด้านความบันเทิง</t>
  </si>
  <si>
    <t>บริการของห้องสมุด หอจดหมายเหตุ พิพิธภัณฑสถาน และบริการทางวัฒนธรรมอื่นๆ</t>
  </si>
  <si>
    <t>บริการของห้องสมุดและหอจดหมายเหตุ</t>
  </si>
  <si>
    <t>บริการของห้องสมุด</t>
  </si>
  <si>
    <t>บริการของหอจดหมายเหตุ</t>
  </si>
  <si>
    <t>บริการของพิพิธภัณฑ์และบริการดำเนินงานเกี่ยวกับโบราณสถานและอาคารทางประวัติศาสตร์</t>
  </si>
  <si>
    <t>บริการของพิพิธภัณฑ์</t>
  </si>
  <si>
    <t>บริการดำเนินงานเกี่ยวกับพิพิธภัณฑ์</t>
  </si>
  <si>
    <t>ตราไปรษณียากรหรืออากรแสตมป์ แสตมป์ที่ประทับตราค่าดวงตราไปรษณีย์ ซองวันแรกจำหน่าย เครื่องเขียนของการไปรษณีย์ และสิ่งของที่คล้ายกัน</t>
  </si>
  <si>
    <t>งานศิลปะในพิพิธภัณฑ์และสิ่งของของนักสะสมที่น่าสนใจทางด้าน สัตววิทยา สวนพฤกษศาสตร์ การศึกษาแร่ กายวิภาค ประวัติศาสตร์ กลุ่มชาติพันธุ์ หรือการสะสมเหรียญ  รวมถึงของโบราณต่างๆ</t>
  </si>
  <si>
    <t>บริการดำเนินงานเกี่ยวกับโบราณสถานและอาคารทางประวัติศาสตร์</t>
  </si>
  <si>
    <t>บริการของสวนพฤกษชาติและสวนสัตว์ และบริการอนุรักษ์ธรรมชาติ</t>
  </si>
  <si>
    <t>บริการของสวนพฤกษชาติและสวนสัตว์</t>
  </si>
  <si>
    <t>บริการอนุรักษ์ธรรมชาติ</t>
  </si>
  <si>
    <t xml:space="preserve">บริการอนุรักษ์ธรรมชาติ </t>
  </si>
  <si>
    <t>บริการด้านการพนันและการเสี่ยงโชค</t>
  </si>
  <si>
    <t>บริการเกี่ยวกับสลากกินแบ่ง</t>
  </si>
  <si>
    <t>บริการดำเนินงานเกี่ยวกับเครื่องออกสลากกินแบ่ง</t>
  </si>
  <si>
    <t>บริการดำเนินการในการออกสลากกินแบ่ง การพนันที่เกี่ยวกับตัวเลข และบิงโก</t>
  </si>
  <si>
    <t>บริการดำเนินงานเกี่ยวกับสลากกินแบ่งแบบออนไลน์</t>
  </si>
  <si>
    <t>บริการด้านการพนันและการเสี่ยงโชคอื่นๆ</t>
  </si>
  <si>
    <t>บริการด้านการพนัน</t>
  </si>
  <si>
    <t>บริการดำเนินงานเกี่ยวกับโต๊ะเล่นการพนัน</t>
  </si>
  <si>
    <t>บริการดำเนินงานเกี่ยวกับเครื่องเล่นการพนัน (ยกเว้นเครื่องออกสลากกินแบ่ง)</t>
  </si>
  <si>
    <t>บริการด้านการพนันแบบออนไลน์ (ยกเว้นสลากกินแบ่งแบบออนไลน์)</t>
  </si>
  <si>
    <t>บริการด้านการพนันอื่นๆ</t>
  </si>
  <si>
    <t>บริการด้านการเสี่ยงโชค</t>
  </si>
  <si>
    <t>บริการด้านการเสี่ยงโชคแบบออนไลน์</t>
  </si>
  <si>
    <t>บริการด้านการเสี่ยงโชคอื่นๆ</t>
  </si>
  <si>
    <t>บริการด้านการกีฬา ความบันเทิง และนันทนาการ</t>
  </si>
  <si>
    <t>บริการด้านการกีฬา</t>
  </si>
  <si>
    <t>บริการดำเนินงานเกี่ยวกับสิ่งอำนวยความสะดวกด้านการกีฬา</t>
  </si>
  <si>
    <t>บริการดำเนินงานของศูนย์ฟิตเนสและการออกกำลังกายเพื่อฝึกความยืดหยุ่นของร่างกาย</t>
  </si>
  <si>
    <t>บริการของสโมสรกีฬา</t>
  </si>
  <si>
    <t xml:space="preserve">บริการของสโมสรกีฬา </t>
  </si>
  <si>
    <t>0บริการของสโมสรกีฬา</t>
  </si>
  <si>
    <t>บริการอื่นๆ ด้านการกีฬา</t>
  </si>
  <si>
    <t>บริการจัดการแข่งขันกีฬา</t>
  </si>
  <si>
    <t>บริการของสมาคม/สมาพันธ์กีฬา</t>
  </si>
  <si>
    <t>บริการอื่นๆ ด้านการกีฬา ซึ่งมิได้จัดประเภทไว้ในที่อื่น</t>
  </si>
  <si>
    <t>บริการของนักกีฬา</t>
  </si>
  <si>
    <t>บริการสนับสนุนด้านการกีฬาและนันทนาการ</t>
  </si>
  <si>
    <t>บริการด้านความบันเทิงและนันทนาการอื่นๆ</t>
  </si>
  <si>
    <t>บริการของสวนสนุกและธีมปาร์ค</t>
  </si>
  <si>
    <t>บริการด้านความบันเทิงและนันทนาการอื่นๆ ซึ่งมิได้จัดประเภทไว้ในที่อื่น</t>
  </si>
  <si>
    <t>บริการของสวนสาธารณะและชายหาด</t>
  </si>
  <si>
    <t>บริการดำเนินงานเกี่ยวกับการแสดงโชว์เพื่อความบันเทิงและการนันทนาการ</t>
  </si>
  <si>
    <t>บริการดำเนินงานเกี่ยวกับการแสดงโชว์ดอกไม้ไฟ แสงและเสียง</t>
  </si>
  <si>
    <t>บริการดำเนินงานเกี่ยวกับการแสดงโชว์อื่นๆ เพื่อความบันเทิงและการนันทนาการ</t>
  </si>
  <si>
    <t>บริการดำเนินงานร้านเกมและตู้เกมหยอดเหรียญ</t>
  </si>
  <si>
    <t>บริการดำเนินงานเกี่ยวกับตู้เกมหยอดเหรียญ</t>
  </si>
  <si>
    <t>บริการด้านความบันเทิงและการนันทนาการอื่นๆ ซึ่งมิได้จัดประเภทไว้ในที่อื่น</t>
  </si>
  <si>
    <t>S</t>
  </si>
  <si>
    <t>บริการด้านอื่นๆ</t>
  </si>
  <si>
    <t>บริการขององค์การสมาชิก</t>
  </si>
  <si>
    <t>บริการขององค์การทางธุรกิจ องค์การนายจ้าง และองค์การทางวิชาชีพ</t>
  </si>
  <si>
    <t>บริการขององค์การทางธุรกิจและองค์การนายจ้าง</t>
  </si>
  <si>
    <t>บริการขององค์การทางวิชาชีพ</t>
  </si>
  <si>
    <t>บริการของสหภาพแรงงาน</t>
  </si>
  <si>
    <t>บริการขององค์การสมาชิกอื่นๆ</t>
  </si>
  <si>
    <t>บริการขององค์การทางศาสนา</t>
  </si>
  <si>
    <t>บริการขององค์การทางการเมือง</t>
  </si>
  <si>
    <t>บริการขององค์การสมาชิกอื่นๆ ซึ่งมิได้จัดประเภทไว้ในที่อื่น</t>
  </si>
  <si>
    <t>บริการขององค์การสิทธิมนุษยชน</t>
  </si>
  <si>
    <t>บริการขององค์การเพื่อการรักษาสิทธิมนุษยชน</t>
  </si>
  <si>
    <t>บริการขององค์การเพื่อการคุ้มครองกลุ่มชนพิเศษ</t>
  </si>
  <si>
    <t>บริการขององค์การสิทธิมนุษยชนอื่นๆ</t>
  </si>
  <si>
    <t>บริการของสมาคมเยาวชน</t>
  </si>
  <si>
    <t>บริการขององค์การด้านสิ่งแวดล้อมและนิเวศวิทยา</t>
  </si>
  <si>
    <t>บริการของสมาคมด้านวัฒนธรรมและนันทนาการ</t>
  </si>
  <si>
    <t xml:space="preserve">บริการขององค์การที่สนับสนุนสิ่งอำนวยความสะดวกในชุมชนและการปรับปรุงเมืองอื่นๆ  </t>
  </si>
  <si>
    <t>บริการขององค์การประชาคมและสังคมอื่นๆ</t>
  </si>
  <si>
    <t>บริการขององค์การสมาชิก โดยการให้เงินสนับสนุน</t>
  </si>
  <si>
    <t>บริการซ่อมคอมพิวเตอร์และของใช้ส่วนบุคคลและของใช้ในครัวเรือน</t>
  </si>
  <si>
    <t>บริการซ่อมอุปกรณ์คอมพิวเตอร์และอุปกรณ์สื่อสารโทรคมนาคม</t>
  </si>
  <si>
    <t>บริการซ่อมคอมพิวเตอร์และอุปกรณ์ต่อพ่วง</t>
  </si>
  <si>
    <t>บริการซ่อมอุปกรณ์สื่อสารโทรคมนาคม</t>
  </si>
  <si>
    <t>บริการซ่อมของใช้ส่วนบุคคลและของใช้ในครัวเรือน</t>
  </si>
  <si>
    <t>บริการซ่อมเครื่องใช้อิเล็กทรอนิกส์ในครัวเรือน</t>
  </si>
  <si>
    <t>บริการซ่อมเครื่องใช้ในครัวเรือนและอุปกรณ์สำหรับบ้านและสวน</t>
  </si>
  <si>
    <t>บริการซ่อมรองเท้าและเครื่องหนัง</t>
  </si>
  <si>
    <t xml:space="preserve">บริการซ่อมรองเท้าและเครื่องหนัง  </t>
  </si>
  <si>
    <t>บริการซ่อมเฟอร์นิเจอร์และของตกแต่งบ้าน</t>
  </si>
  <si>
    <t>บริการซ่อมเฟอร์นิเจอร์และของตกแต่งบ้าน  รวมถึงเฟอร์นิเจอร์สำนักงาน</t>
  </si>
  <si>
    <t>บริการซ่อมของใช้ส่วนบุคคลและของใช้ในครัวเรือนอื่นๆ</t>
  </si>
  <si>
    <t>บริการซ่อมนาฬิกา</t>
  </si>
  <si>
    <t>บริการซ่อมเสื้อผ้าเครื่องแต่งกาย</t>
  </si>
  <si>
    <t>บริการซ่อมรถจักรยาน</t>
  </si>
  <si>
    <t>บริการซ่อมเครื่องดนตรี</t>
  </si>
  <si>
    <t>บริการซ่อมเครื่องกีฬา</t>
  </si>
  <si>
    <t xml:space="preserve">บริการซ่อมเครื่องกีฬา  </t>
  </si>
  <si>
    <t>บริการซ่อมของใช้ส่วนบุคคลและของใช้ในครัวเรือนอื่นๆ ซึ่งมิได้จัดประเภทไว้ในที่อื่น</t>
  </si>
  <si>
    <t>บริการซ่อมเครื่องประดับเพชรพลอยและรูปพรรณ</t>
  </si>
  <si>
    <t>บริการส่วนบุคคลอื่นๆ</t>
  </si>
  <si>
    <t>บริการเพื่อเสริมสร้างสุขภาพร่างกาย (ยกเว้นบริการด้านการกีฬา)</t>
  </si>
  <si>
    <t>บริการสปาและนวด</t>
  </si>
  <si>
    <t>บริการสปาและการนวด</t>
  </si>
  <si>
    <t>บริการลดน้ำหนัก</t>
  </si>
  <si>
    <t>บริการแต่งผม</t>
  </si>
  <si>
    <t>บริการแต่งผมสำหรับผู้หญิงและเด็กหญิง</t>
  </si>
  <si>
    <t>บริการแต่งผมสำหรับผู้ชายและเด็กชาย</t>
  </si>
  <si>
    <t>ผมคนที่ยังไม่ได้จัดทำ</t>
  </si>
  <si>
    <t>บริการดูแลความงาม แต่งเล็บมือและเล็บเท้า</t>
  </si>
  <si>
    <t>บริการอื่นๆ เพื่อเสริมสร้างสุขภาพร่างกาย (ยกเว้นบริการด้านการกีฬา)</t>
  </si>
  <si>
    <t>บริการซักรีดและซักแห้ง</t>
  </si>
  <si>
    <t>บริการซักรีดและซักแห้ง (ยกเว้นโดยเครื่องซักผ้าชนิดหยอดเหรียญ)</t>
  </si>
  <si>
    <t>บริการซักแห้งเครื่องแต่งกาย  รวมถึงของที่ทำจากขนสัตว์</t>
  </si>
  <si>
    <t>บริการอัดกลีบเครื่องแต่งกาย</t>
  </si>
  <si>
    <t xml:space="preserve">บริการทำความสะอาดสิ่งทออื่นๆ  </t>
  </si>
  <si>
    <t>บริการซักรีดและซักแห้ง โดยเครื่องซักผ้าชนิดหยอดเหรียญ</t>
  </si>
  <si>
    <t>บริการฟอกและย้อมสี</t>
  </si>
  <si>
    <t>บริการส่วนบุคคลอื่นๆ ซึ่งมิได้จัดประเภทไว้ในที่อื่น</t>
  </si>
  <si>
    <t>บริการทำศพและบริการที่เกี่ยวข้อง</t>
  </si>
  <si>
    <t>บริการที่ฝังศพและการเผาศพ</t>
  </si>
  <si>
    <t>บริการจัดงานศพ</t>
  </si>
  <si>
    <t>บริการดูแลสัตว์เลี้ยง</t>
  </si>
  <si>
    <t>บริการส่วนบุคคลด้วยเครื่องหยอดเหรียญ</t>
  </si>
  <si>
    <t xml:space="preserve">บริการส่วนบุคคลด้วยเครื่องหยอดเหรียญ </t>
  </si>
  <si>
    <t>บริการโหราศาสตร์และไสยศาสตร์</t>
  </si>
  <si>
    <t>บริการอาบ อบ นวด และบริการอื่นๆ ที่คล้ายกัน</t>
  </si>
  <si>
    <t>T</t>
  </si>
  <si>
    <t>บริการจ้างงานในครัวเรือนส่วนบุคคล สินค้าและบริการที่ทำขึ้นเองเพื่อใช้ในครัวเรือน ซึ่งไม่สามารถจำแนกผลิตภัณฑ์ได้อย่างชัดเจน</t>
  </si>
  <si>
    <t>บริการจ้างงานในครัวเรือนส่วนบุคคล</t>
  </si>
  <si>
    <t>สินค้าและบริการที่ทำขึ้นเองเพื่อใช้ในครัวเรือน ซึ่งไม่สามารถจำแนกผลิตภัณฑ์ได้อย่างชัดเจน</t>
  </si>
  <si>
    <t>สินค้าที่ทำขึ้นเองเพื่อใช้ในครัวเรือน ซึ่งไม่สามารถจำแนกผลิตภัณฑ์ได้อย่างชัดเจน</t>
  </si>
  <si>
    <t>บริการที่ทำขึ้นเองเพื่อใช้ในครัวเรือน ซึ่งไม่สามารถจำแนกผลิตภัณฑ์ได้อย่างชัดเจน</t>
  </si>
  <si>
    <t>U</t>
  </si>
  <si>
    <t>บริการขององค์การระหว่างประเทศและภาคีสมาชิก</t>
  </si>
  <si>
    <t>บริการของคณะผู้แทนทางการทูตและกงสุลจากประเทศต่างๆ</t>
  </si>
  <si>
    <t>บริการของคณะผู้แทนทางการฑูตและกงสุลจากประเทศต่างๆ</t>
  </si>
  <si>
    <t>บริการขององค์การระหว่างประเทศและภาคีสมาชิกอื่นๆ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</si>
</sst>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67"/>
  <sheetViews>
    <sheetView tabSelected="1" workbookViewId="0"/>
  </sheetViews>
  <sheetFormatPr defaultRowHeight="14.25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 t="s">
        <v>8</v>
      </c>
      <c r="H2" t="s">
        <v>9</v>
      </c>
    </row>
    <row r="3" spans="1:8" x14ac:dyDescent="0.2">
      <c r="B3" t="str">
        <f>"01"</f>
        <v>01</v>
      </c>
      <c r="H3" t="s">
        <v>10</v>
      </c>
    </row>
    <row r="4" spans="1:8" x14ac:dyDescent="0.2">
      <c r="C4" t="str">
        <f>"011"</f>
        <v>011</v>
      </c>
      <c r="H4" t="s">
        <v>11</v>
      </c>
    </row>
    <row r="5" spans="1:8" x14ac:dyDescent="0.2">
      <c r="D5" t="str">
        <f>"0111"</f>
        <v>0111</v>
      </c>
      <c r="H5" t="s">
        <v>12</v>
      </c>
    </row>
    <row r="6" spans="1:8" x14ac:dyDescent="0.2">
      <c r="E6" t="str">
        <f>"01111"</f>
        <v>01111</v>
      </c>
      <c r="H6" t="s">
        <v>13</v>
      </c>
    </row>
    <row r="7" spans="1:8" x14ac:dyDescent="0.2">
      <c r="F7" t="str">
        <f>"01111.1"</f>
        <v>01111.1</v>
      </c>
      <c r="H7" t="s">
        <v>13</v>
      </c>
    </row>
    <row r="8" spans="1:8" x14ac:dyDescent="0.2">
      <c r="G8" t="str">
        <f>"01111.10"</f>
        <v>01111.10</v>
      </c>
      <c r="H8" t="s">
        <v>13</v>
      </c>
    </row>
    <row r="9" spans="1:8" x14ac:dyDescent="0.2">
      <c r="F9" t="str">
        <f>"01111.2"</f>
        <v>01111.2</v>
      </c>
      <c r="H9" t="s">
        <v>14</v>
      </c>
    </row>
    <row r="10" spans="1:8" x14ac:dyDescent="0.2">
      <c r="G10" t="str">
        <f>"01111.20"</f>
        <v>01111.20</v>
      </c>
      <c r="H10" t="s">
        <v>14</v>
      </c>
    </row>
    <row r="11" spans="1:8" x14ac:dyDescent="0.2">
      <c r="E11" t="str">
        <f>"01112"</f>
        <v>01112</v>
      </c>
      <c r="H11" t="s">
        <v>15</v>
      </c>
    </row>
    <row r="12" spans="1:8" x14ac:dyDescent="0.2">
      <c r="F12" t="str">
        <f>"01112.1"</f>
        <v>01112.1</v>
      </c>
      <c r="H12" t="s">
        <v>16</v>
      </c>
    </row>
    <row r="13" spans="1:8" x14ac:dyDescent="0.2">
      <c r="G13" t="str">
        <f>"01112.11"</f>
        <v>01112.11</v>
      </c>
      <c r="H13" t="s">
        <v>17</v>
      </c>
    </row>
    <row r="14" spans="1:8" x14ac:dyDescent="0.2">
      <c r="G14" t="str">
        <f>"01112.12"</f>
        <v>01112.12</v>
      </c>
      <c r="H14" t="s">
        <v>18</v>
      </c>
    </row>
    <row r="15" spans="1:8" x14ac:dyDescent="0.2">
      <c r="F15" t="str">
        <f>"01112.2"</f>
        <v>01112.2</v>
      </c>
      <c r="H15" t="s">
        <v>19</v>
      </c>
    </row>
    <row r="16" spans="1:8" x14ac:dyDescent="0.2">
      <c r="G16" t="str">
        <f>"01112.21"</f>
        <v>01112.21</v>
      </c>
      <c r="H16" t="s">
        <v>20</v>
      </c>
    </row>
    <row r="17" spans="5:8" x14ac:dyDescent="0.2">
      <c r="G17" t="str">
        <f>"01112.22"</f>
        <v>01112.22</v>
      </c>
      <c r="H17" t="s">
        <v>21</v>
      </c>
    </row>
    <row r="18" spans="5:8" x14ac:dyDescent="0.2">
      <c r="G18" t="str">
        <f>"01112.23"</f>
        <v>01112.23</v>
      </c>
      <c r="H18" t="s">
        <v>22</v>
      </c>
    </row>
    <row r="19" spans="5:8" x14ac:dyDescent="0.2">
      <c r="F19" t="str">
        <f>"01112.3"</f>
        <v>01112.3</v>
      </c>
      <c r="H19" t="s">
        <v>23</v>
      </c>
    </row>
    <row r="20" spans="5:8" x14ac:dyDescent="0.2">
      <c r="G20" t="str">
        <f>"01112.31"</f>
        <v>01112.31</v>
      </c>
      <c r="H20" t="s">
        <v>24</v>
      </c>
    </row>
    <row r="21" spans="5:8" x14ac:dyDescent="0.2">
      <c r="G21" t="str">
        <f>"01112.32"</f>
        <v>01112.32</v>
      </c>
      <c r="H21" t="s">
        <v>25</v>
      </c>
    </row>
    <row r="22" spans="5:8" x14ac:dyDescent="0.2">
      <c r="G22" t="str">
        <f>"01112.33"</f>
        <v>01112.33</v>
      </c>
      <c r="H22" t="s">
        <v>26</v>
      </c>
    </row>
    <row r="23" spans="5:8" x14ac:dyDescent="0.2">
      <c r="F23" t="str">
        <f>"01112.4"</f>
        <v>01112.4</v>
      </c>
      <c r="H23" t="s">
        <v>27</v>
      </c>
    </row>
    <row r="24" spans="5:8" x14ac:dyDescent="0.2">
      <c r="G24" t="str">
        <f>"01112.40"</f>
        <v>01112.40</v>
      </c>
      <c r="H24" t="s">
        <v>27</v>
      </c>
    </row>
    <row r="25" spans="5:8" x14ac:dyDescent="0.2">
      <c r="E25" t="str">
        <f>"01113"</f>
        <v>01113</v>
      </c>
      <c r="H25" t="s">
        <v>28</v>
      </c>
    </row>
    <row r="26" spans="5:8" x14ac:dyDescent="0.2">
      <c r="F26" t="str">
        <f>"01113.1"</f>
        <v>01113.1</v>
      </c>
      <c r="H26" t="s">
        <v>29</v>
      </c>
    </row>
    <row r="27" spans="5:8" x14ac:dyDescent="0.2">
      <c r="G27" t="str">
        <f>"01113.11"</f>
        <v>01113.11</v>
      </c>
      <c r="H27" t="s">
        <v>30</v>
      </c>
    </row>
    <row r="28" spans="5:8" x14ac:dyDescent="0.2">
      <c r="G28" t="str">
        <f>"01113.12"</f>
        <v>01113.12</v>
      </c>
      <c r="H28" t="s">
        <v>31</v>
      </c>
    </row>
    <row r="29" spans="5:8" x14ac:dyDescent="0.2">
      <c r="G29" t="str">
        <f>"01113.19"</f>
        <v>01113.19</v>
      </c>
      <c r="H29" t="s">
        <v>32</v>
      </c>
    </row>
    <row r="30" spans="5:8" x14ac:dyDescent="0.2">
      <c r="F30" t="str">
        <f>"01113.2"</f>
        <v>01113.2</v>
      </c>
      <c r="H30" t="s">
        <v>33</v>
      </c>
    </row>
    <row r="31" spans="5:8" x14ac:dyDescent="0.2">
      <c r="G31" t="str">
        <f>"01113.21"</f>
        <v>01113.21</v>
      </c>
      <c r="H31" t="s">
        <v>34</v>
      </c>
    </row>
    <row r="32" spans="5:8" x14ac:dyDescent="0.2">
      <c r="G32" t="str">
        <f>"01113.22"</f>
        <v>01113.22</v>
      </c>
      <c r="H32" t="s">
        <v>35</v>
      </c>
    </row>
    <row r="33" spans="5:8" x14ac:dyDescent="0.2">
      <c r="G33" t="str">
        <f>"01113.23"</f>
        <v>01113.23</v>
      </c>
      <c r="H33" t="s">
        <v>36</v>
      </c>
    </row>
    <row r="34" spans="5:8" x14ac:dyDescent="0.2">
      <c r="G34" t="str">
        <f>"01113.24"</f>
        <v>01113.24</v>
      </c>
      <c r="H34" t="s">
        <v>37</v>
      </c>
    </row>
    <row r="35" spans="5:8" x14ac:dyDescent="0.2">
      <c r="G35" t="str">
        <f>"01113.25"</f>
        <v>01113.25</v>
      </c>
      <c r="H35" t="s">
        <v>38</v>
      </c>
    </row>
    <row r="36" spans="5:8" x14ac:dyDescent="0.2">
      <c r="G36" t="str">
        <f>"01113.29"</f>
        <v>01113.29</v>
      </c>
      <c r="H36" t="s">
        <v>39</v>
      </c>
    </row>
    <row r="37" spans="5:8" x14ac:dyDescent="0.2">
      <c r="E37" t="str">
        <f>"01114"</f>
        <v>01114</v>
      </c>
      <c r="H37" t="s">
        <v>40</v>
      </c>
    </row>
    <row r="38" spans="5:8" x14ac:dyDescent="0.2">
      <c r="F38" t="str">
        <f>"01114.0"</f>
        <v>01114.0</v>
      </c>
      <c r="H38" t="s">
        <v>40</v>
      </c>
    </row>
    <row r="39" spans="5:8" x14ac:dyDescent="0.2">
      <c r="G39" t="str">
        <f>"01114.00"</f>
        <v>01114.00</v>
      </c>
      <c r="H39" t="s">
        <v>40</v>
      </c>
    </row>
    <row r="40" spans="5:8" x14ac:dyDescent="0.2">
      <c r="E40" t="str">
        <f>"01115"</f>
        <v>01115</v>
      </c>
      <c r="H40" t="s">
        <v>41</v>
      </c>
    </row>
    <row r="41" spans="5:8" x14ac:dyDescent="0.2">
      <c r="F41" t="str">
        <f>"01115.1"</f>
        <v>01115.1</v>
      </c>
      <c r="H41" t="s">
        <v>42</v>
      </c>
    </row>
    <row r="42" spans="5:8" x14ac:dyDescent="0.2">
      <c r="G42" t="str">
        <f>"01115.11"</f>
        <v>01115.11</v>
      </c>
      <c r="H42" t="s">
        <v>43</v>
      </c>
    </row>
    <row r="43" spans="5:8" x14ac:dyDescent="0.2">
      <c r="G43" t="str">
        <f>"01115.12"</f>
        <v>01115.12</v>
      </c>
      <c r="H43" t="s">
        <v>44</v>
      </c>
    </row>
    <row r="44" spans="5:8" x14ac:dyDescent="0.2">
      <c r="F44" t="str">
        <f>"01115.2"</f>
        <v>01115.2</v>
      </c>
      <c r="H44" t="s">
        <v>45</v>
      </c>
    </row>
    <row r="45" spans="5:8" x14ac:dyDescent="0.2">
      <c r="G45" t="str">
        <f>"01115.20"</f>
        <v>01115.20</v>
      </c>
      <c r="H45" t="s">
        <v>45</v>
      </c>
    </row>
    <row r="46" spans="5:8" x14ac:dyDescent="0.2">
      <c r="F46" t="str">
        <f>"01115.3"</f>
        <v>01115.3</v>
      </c>
      <c r="H46" t="s">
        <v>46</v>
      </c>
    </row>
    <row r="47" spans="5:8" x14ac:dyDescent="0.2">
      <c r="G47" t="str">
        <f>"01115.31"</f>
        <v>01115.31</v>
      </c>
      <c r="H47" t="s">
        <v>47</v>
      </c>
    </row>
    <row r="48" spans="5:8" x14ac:dyDescent="0.2">
      <c r="G48" t="str">
        <f>"01115.32"</f>
        <v>01115.32</v>
      </c>
      <c r="H48" t="s">
        <v>48</v>
      </c>
    </row>
    <row r="49" spans="4:8" x14ac:dyDescent="0.2">
      <c r="G49" t="str">
        <f>"01115.33"</f>
        <v>01115.33</v>
      </c>
      <c r="H49" t="s">
        <v>49</v>
      </c>
    </row>
    <row r="50" spans="4:8" x14ac:dyDescent="0.2">
      <c r="G50" t="str">
        <f>"01115.34"</f>
        <v>01115.34</v>
      </c>
      <c r="H50" t="s">
        <v>50</v>
      </c>
    </row>
    <row r="51" spans="4:8" x14ac:dyDescent="0.2">
      <c r="G51" t="str">
        <f>"01115.35"</f>
        <v>01115.35</v>
      </c>
      <c r="H51" t="s">
        <v>51</v>
      </c>
    </row>
    <row r="52" spans="4:8" x14ac:dyDescent="0.2">
      <c r="G52" t="str">
        <f>"01115.36"</f>
        <v>01115.36</v>
      </c>
      <c r="H52" t="s">
        <v>52</v>
      </c>
    </row>
    <row r="53" spans="4:8" x14ac:dyDescent="0.2">
      <c r="G53" t="str">
        <f>"01115.39"</f>
        <v>01115.39</v>
      </c>
      <c r="H53" t="s">
        <v>53</v>
      </c>
    </row>
    <row r="54" spans="4:8" x14ac:dyDescent="0.2">
      <c r="D54" t="str">
        <f>"0112"</f>
        <v>0112</v>
      </c>
      <c r="H54" t="s">
        <v>54</v>
      </c>
    </row>
    <row r="55" spans="4:8" x14ac:dyDescent="0.2">
      <c r="E55" t="str">
        <f>"01121"</f>
        <v>01121</v>
      </c>
      <c r="H55" t="s">
        <v>55</v>
      </c>
    </row>
    <row r="56" spans="4:8" x14ac:dyDescent="0.2">
      <c r="F56" t="str">
        <f>"01121.1"</f>
        <v>01121.1</v>
      </c>
      <c r="H56" t="s">
        <v>55</v>
      </c>
    </row>
    <row r="57" spans="4:8" x14ac:dyDescent="0.2">
      <c r="G57" t="str">
        <f>"01121.10"</f>
        <v>01121.10</v>
      </c>
      <c r="H57" t="s">
        <v>55</v>
      </c>
    </row>
    <row r="58" spans="4:8" x14ac:dyDescent="0.2">
      <c r="F58" t="str">
        <f>"01121.2"</f>
        <v>01121.2</v>
      </c>
      <c r="H58" t="s">
        <v>56</v>
      </c>
    </row>
    <row r="59" spans="4:8" x14ac:dyDescent="0.2">
      <c r="G59" t="str">
        <f>"01121.20"</f>
        <v>01121.20</v>
      </c>
      <c r="H59" t="s">
        <v>56</v>
      </c>
    </row>
    <row r="60" spans="4:8" x14ac:dyDescent="0.2">
      <c r="E60" t="str">
        <f>"01122"</f>
        <v>01122</v>
      </c>
      <c r="H60" t="s">
        <v>57</v>
      </c>
    </row>
    <row r="61" spans="4:8" x14ac:dyDescent="0.2">
      <c r="F61" t="str">
        <f>"01122.1"</f>
        <v>01122.1</v>
      </c>
      <c r="H61" t="s">
        <v>57</v>
      </c>
    </row>
    <row r="62" spans="4:8" x14ac:dyDescent="0.2">
      <c r="G62" t="str">
        <f>"01122.10"</f>
        <v>01122.10</v>
      </c>
      <c r="H62" t="s">
        <v>57</v>
      </c>
    </row>
    <row r="63" spans="4:8" x14ac:dyDescent="0.2">
      <c r="F63" t="str">
        <f>"01122.2"</f>
        <v>01122.2</v>
      </c>
      <c r="H63" t="s">
        <v>58</v>
      </c>
    </row>
    <row r="64" spans="4:8" x14ac:dyDescent="0.2">
      <c r="G64" t="str">
        <f>"01122.20"</f>
        <v>01122.20</v>
      </c>
      <c r="H64" t="s">
        <v>58</v>
      </c>
    </row>
    <row r="65" spans="4:8" x14ac:dyDescent="0.2">
      <c r="D65" t="str">
        <f>"0113"</f>
        <v>0113</v>
      </c>
      <c r="H65" t="s">
        <v>59</v>
      </c>
    </row>
    <row r="66" spans="4:8" x14ac:dyDescent="0.2">
      <c r="E66" t="str">
        <f>"01131"</f>
        <v>01131</v>
      </c>
      <c r="H66" t="s">
        <v>60</v>
      </c>
    </row>
    <row r="67" spans="4:8" x14ac:dyDescent="0.2">
      <c r="F67" t="str">
        <f>"01131.1"</f>
        <v>01131.1</v>
      </c>
      <c r="H67" t="s">
        <v>60</v>
      </c>
    </row>
    <row r="68" spans="4:8" x14ac:dyDescent="0.2">
      <c r="G68" t="str">
        <f>"01131.11"</f>
        <v>01131.11</v>
      </c>
      <c r="H68" t="s">
        <v>61</v>
      </c>
    </row>
    <row r="69" spans="4:8" x14ac:dyDescent="0.2">
      <c r="G69" t="str">
        <f>"01131.12"</f>
        <v>01131.12</v>
      </c>
      <c r="H69" t="s">
        <v>62</v>
      </c>
    </row>
    <row r="70" spans="4:8" x14ac:dyDescent="0.2">
      <c r="G70" t="str">
        <f>"01131.13"</f>
        <v>01131.13</v>
      </c>
      <c r="H70" t="s">
        <v>63</v>
      </c>
    </row>
    <row r="71" spans="4:8" x14ac:dyDescent="0.2">
      <c r="G71" t="str">
        <f>"01131.14"</f>
        <v>01131.14</v>
      </c>
      <c r="H71" t="s">
        <v>64</v>
      </c>
    </row>
    <row r="72" spans="4:8" x14ac:dyDescent="0.2">
      <c r="G72" t="str">
        <f>"01131.15"</f>
        <v>01131.15</v>
      </c>
      <c r="H72" t="s">
        <v>65</v>
      </c>
    </row>
    <row r="73" spans="4:8" x14ac:dyDescent="0.2">
      <c r="G73" t="str">
        <f>"01131.16"</f>
        <v>01131.16</v>
      </c>
      <c r="H73" t="s">
        <v>66</v>
      </c>
    </row>
    <row r="74" spans="4:8" x14ac:dyDescent="0.2">
      <c r="G74" t="str">
        <f>"01131.17"</f>
        <v>01131.17</v>
      </c>
      <c r="H74" t="s">
        <v>67</v>
      </c>
    </row>
    <row r="75" spans="4:8" x14ac:dyDescent="0.2">
      <c r="G75" t="str">
        <f>"01131.19"</f>
        <v>01131.19</v>
      </c>
      <c r="H75" t="s">
        <v>68</v>
      </c>
    </row>
    <row r="76" spans="4:8" x14ac:dyDescent="0.2">
      <c r="F76" t="str">
        <f>"01131.2"</f>
        <v>01131.2</v>
      </c>
      <c r="H76" t="s">
        <v>69</v>
      </c>
    </row>
    <row r="77" spans="4:8" x14ac:dyDescent="0.2">
      <c r="G77" t="str">
        <f>"01131.20"</f>
        <v>01131.20</v>
      </c>
      <c r="H77" t="s">
        <v>69</v>
      </c>
    </row>
    <row r="78" spans="4:8" x14ac:dyDescent="0.2">
      <c r="E78" t="str">
        <f>"01132"</f>
        <v>01132</v>
      </c>
      <c r="H78" t="s">
        <v>70</v>
      </c>
    </row>
    <row r="79" spans="4:8" x14ac:dyDescent="0.2">
      <c r="F79" t="str">
        <f>"01132.1"</f>
        <v>01132.1</v>
      </c>
      <c r="H79" t="s">
        <v>71</v>
      </c>
    </row>
    <row r="80" spans="4:8" x14ac:dyDescent="0.2">
      <c r="G80" t="str">
        <f>"01132.11"</f>
        <v>01132.11</v>
      </c>
      <c r="H80" t="s">
        <v>72</v>
      </c>
    </row>
    <row r="81" spans="5:8" x14ac:dyDescent="0.2">
      <c r="G81" t="str">
        <f>"01132.12"</f>
        <v>01132.12</v>
      </c>
      <c r="H81" t="s">
        <v>73</v>
      </c>
    </row>
    <row r="82" spans="5:8" x14ac:dyDescent="0.2">
      <c r="F82" t="str">
        <f>"01132.2"</f>
        <v>01132.2</v>
      </c>
      <c r="H82" t="s">
        <v>74</v>
      </c>
    </row>
    <row r="83" spans="5:8" x14ac:dyDescent="0.2">
      <c r="G83" t="str">
        <f>"01132.21"</f>
        <v>01132.21</v>
      </c>
      <c r="H83" t="s">
        <v>75</v>
      </c>
    </row>
    <row r="84" spans="5:8" x14ac:dyDescent="0.2">
      <c r="G84" t="str">
        <f>"01132.22"</f>
        <v>01132.22</v>
      </c>
      <c r="H84" t="s">
        <v>76</v>
      </c>
    </row>
    <row r="85" spans="5:8" x14ac:dyDescent="0.2">
      <c r="G85" t="str">
        <f>"01132.23"</f>
        <v>01132.23</v>
      </c>
      <c r="H85" t="s">
        <v>77</v>
      </c>
    </row>
    <row r="86" spans="5:8" x14ac:dyDescent="0.2">
      <c r="G86" t="str">
        <f>"01132.24"</f>
        <v>01132.24</v>
      </c>
      <c r="H86" t="s">
        <v>78</v>
      </c>
    </row>
    <row r="87" spans="5:8" x14ac:dyDescent="0.2">
      <c r="G87" t="str">
        <f>"01132.29"</f>
        <v>01132.29</v>
      </c>
      <c r="H87" t="s">
        <v>79</v>
      </c>
    </row>
    <row r="88" spans="5:8" x14ac:dyDescent="0.2">
      <c r="F88" t="str">
        <f>"01132.3"</f>
        <v>01132.3</v>
      </c>
      <c r="H88" t="s">
        <v>80</v>
      </c>
    </row>
    <row r="89" spans="5:8" x14ac:dyDescent="0.2">
      <c r="G89" t="str">
        <f>"01132.30"</f>
        <v>01132.30</v>
      </c>
      <c r="H89" t="s">
        <v>80</v>
      </c>
    </row>
    <row r="90" spans="5:8" x14ac:dyDescent="0.2">
      <c r="E90" t="str">
        <f>"01133"</f>
        <v>01133</v>
      </c>
      <c r="H90" t="s">
        <v>81</v>
      </c>
    </row>
    <row r="91" spans="5:8" x14ac:dyDescent="0.2">
      <c r="F91" t="str">
        <f>"01133.1"</f>
        <v>01133.1</v>
      </c>
      <c r="H91" t="s">
        <v>81</v>
      </c>
    </row>
    <row r="92" spans="5:8" x14ac:dyDescent="0.2">
      <c r="G92" t="str">
        <f>"01133.11"</f>
        <v>01133.11</v>
      </c>
      <c r="H92" t="s">
        <v>82</v>
      </c>
    </row>
    <row r="93" spans="5:8" x14ac:dyDescent="0.2">
      <c r="G93" t="str">
        <f>"01133.12"</f>
        <v>01133.12</v>
      </c>
      <c r="H93" t="s">
        <v>83</v>
      </c>
    </row>
    <row r="94" spans="5:8" x14ac:dyDescent="0.2">
      <c r="G94" t="str">
        <f>"01133.13"</f>
        <v>01133.13</v>
      </c>
      <c r="H94" t="s">
        <v>84</v>
      </c>
    </row>
    <row r="95" spans="5:8" x14ac:dyDescent="0.2">
      <c r="G95" t="str">
        <f>"01133.14"</f>
        <v>01133.14</v>
      </c>
      <c r="H95" t="s">
        <v>85</v>
      </c>
    </row>
    <row r="96" spans="5:8" x14ac:dyDescent="0.2">
      <c r="G96" t="str">
        <f>"01133.19"</f>
        <v>01133.19</v>
      </c>
      <c r="H96" t="s">
        <v>86</v>
      </c>
    </row>
    <row r="97" spans="5:8" x14ac:dyDescent="0.2">
      <c r="F97" t="str">
        <f>"01133.2"</f>
        <v>01133.2</v>
      </c>
      <c r="H97" t="s">
        <v>87</v>
      </c>
    </row>
    <row r="98" spans="5:8" x14ac:dyDescent="0.2">
      <c r="G98" t="str">
        <f>"01133.20"</f>
        <v>01133.20</v>
      </c>
      <c r="H98" t="s">
        <v>87</v>
      </c>
    </row>
    <row r="99" spans="5:8" x14ac:dyDescent="0.2">
      <c r="E99" t="str">
        <f>"01134"</f>
        <v>01134</v>
      </c>
      <c r="H99" t="s">
        <v>88</v>
      </c>
    </row>
    <row r="100" spans="5:8" x14ac:dyDescent="0.2">
      <c r="F100" t="str">
        <f>"01134.1"</f>
        <v>01134.1</v>
      </c>
      <c r="H100" t="s">
        <v>88</v>
      </c>
    </row>
    <row r="101" spans="5:8" x14ac:dyDescent="0.2">
      <c r="G101" t="str">
        <f>"01134.11"</f>
        <v>01134.11</v>
      </c>
      <c r="H101" t="s">
        <v>89</v>
      </c>
    </row>
    <row r="102" spans="5:8" x14ac:dyDescent="0.2">
      <c r="G102" t="str">
        <f>"01134.12"</f>
        <v>01134.12</v>
      </c>
      <c r="H102" t="s">
        <v>90</v>
      </c>
    </row>
    <row r="103" spans="5:8" x14ac:dyDescent="0.2">
      <c r="G103" t="str">
        <f>"01134.19"</f>
        <v>01134.19</v>
      </c>
      <c r="H103" t="s">
        <v>91</v>
      </c>
    </row>
    <row r="104" spans="5:8" x14ac:dyDescent="0.2">
      <c r="F104" t="str">
        <f>"01134.2"</f>
        <v>01134.2</v>
      </c>
      <c r="H104" t="s">
        <v>92</v>
      </c>
    </row>
    <row r="105" spans="5:8" x14ac:dyDescent="0.2">
      <c r="G105" t="str">
        <f>"01134.20"</f>
        <v>01134.20</v>
      </c>
      <c r="H105" t="s">
        <v>92</v>
      </c>
    </row>
    <row r="106" spans="5:8" x14ac:dyDescent="0.2">
      <c r="E106" t="str">
        <f>"01135"</f>
        <v>01135</v>
      </c>
      <c r="H106" t="s">
        <v>93</v>
      </c>
    </row>
    <row r="107" spans="5:8" x14ac:dyDescent="0.2">
      <c r="F107" t="str">
        <f>"01135.0"</f>
        <v>01135.0</v>
      </c>
      <c r="H107" t="s">
        <v>93</v>
      </c>
    </row>
    <row r="108" spans="5:8" x14ac:dyDescent="0.2">
      <c r="G108" t="str">
        <f>"01135.00"</f>
        <v>01135.00</v>
      </c>
      <c r="H108" t="s">
        <v>93</v>
      </c>
    </row>
    <row r="109" spans="5:8" x14ac:dyDescent="0.2">
      <c r="E109" t="str">
        <f>"01136"</f>
        <v>01136</v>
      </c>
      <c r="H109" t="s">
        <v>94</v>
      </c>
    </row>
    <row r="110" spans="5:8" x14ac:dyDescent="0.2">
      <c r="F110" t="str">
        <f>"01136.0"</f>
        <v>01136.0</v>
      </c>
      <c r="H110" t="s">
        <v>95</v>
      </c>
    </row>
    <row r="111" spans="5:8" x14ac:dyDescent="0.2">
      <c r="G111" t="str">
        <f>"01136.00"</f>
        <v>01136.00</v>
      </c>
      <c r="H111" t="s">
        <v>95</v>
      </c>
    </row>
    <row r="112" spans="5:8" x14ac:dyDescent="0.2">
      <c r="E112" t="str">
        <f>"01139"</f>
        <v>01139</v>
      </c>
      <c r="H112" t="s">
        <v>96</v>
      </c>
    </row>
    <row r="113" spans="4:8" x14ac:dyDescent="0.2">
      <c r="F113" t="str">
        <f>"01139.1"</f>
        <v>01139.1</v>
      </c>
      <c r="H113" t="s">
        <v>96</v>
      </c>
    </row>
    <row r="114" spans="4:8" x14ac:dyDescent="0.2">
      <c r="G114" t="str">
        <f>"01139.11"</f>
        <v>01139.11</v>
      </c>
      <c r="H114" t="s">
        <v>97</v>
      </c>
    </row>
    <row r="115" spans="4:8" x14ac:dyDescent="0.2">
      <c r="G115" t="str">
        <f>"01139.19"</f>
        <v>01139.19</v>
      </c>
      <c r="H115" t="s">
        <v>98</v>
      </c>
    </row>
    <row r="116" spans="4:8" x14ac:dyDescent="0.2">
      <c r="F116" t="str">
        <f>"01139.2"</f>
        <v>01139.2</v>
      </c>
      <c r="H116" t="s">
        <v>99</v>
      </c>
    </row>
    <row r="117" spans="4:8" x14ac:dyDescent="0.2">
      <c r="G117" t="str">
        <f>"01139.21"</f>
        <v>01139.21</v>
      </c>
      <c r="H117" t="s">
        <v>100</v>
      </c>
    </row>
    <row r="118" spans="4:8" x14ac:dyDescent="0.2">
      <c r="G118" t="str">
        <f>"01139.29"</f>
        <v>01139.29</v>
      </c>
      <c r="H118" t="s">
        <v>101</v>
      </c>
    </row>
    <row r="119" spans="4:8" x14ac:dyDescent="0.2">
      <c r="D119" t="str">
        <f>"0114"</f>
        <v>0114</v>
      </c>
      <c r="H119" t="s">
        <v>102</v>
      </c>
    </row>
    <row r="120" spans="4:8" x14ac:dyDescent="0.2">
      <c r="E120" t="str">
        <f>"01140"</f>
        <v>01140</v>
      </c>
      <c r="H120" t="s">
        <v>102</v>
      </c>
    </row>
    <row r="121" spans="4:8" x14ac:dyDescent="0.2">
      <c r="F121" t="str">
        <f>"01140.0"</f>
        <v>01140.0</v>
      </c>
      <c r="H121" t="s">
        <v>102</v>
      </c>
    </row>
    <row r="122" spans="4:8" x14ac:dyDescent="0.2">
      <c r="G122" t="str">
        <f>"01140.00"</f>
        <v>01140.00</v>
      </c>
      <c r="H122" t="s">
        <v>102</v>
      </c>
    </row>
    <row r="123" spans="4:8" x14ac:dyDescent="0.2">
      <c r="D123" t="str">
        <f>"0115"</f>
        <v>0115</v>
      </c>
      <c r="H123" t="s">
        <v>103</v>
      </c>
    </row>
    <row r="124" spans="4:8" x14ac:dyDescent="0.2">
      <c r="E124" t="str">
        <f>"01150"</f>
        <v>01150</v>
      </c>
      <c r="H124" t="s">
        <v>103</v>
      </c>
    </row>
    <row r="125" spans="4:8" x14ac:dyDescent="0.2">
      <c r="F125" t="str">
        <f>"01150.0"</f>
        <v>01150.0</v>
      </c>
      <c r="H125" t="s">
        <v>104</v>
      </c>
    </row>
    <row r="126" spans="4:8" x14ac:dyDescent="0.2">
      <c r="G126" t="str">
        <f>"01150.00"</f>
        <v>01150.00</v>
      </c>
      <c r="H126" t="s">
        <v>104</v>
      </c>
    </row>
    <row r="127" spans="4:8" x14ac:dyDescent="0.2">
      <c r="D127" t="str">
        <f>"0116"</f>
        <v>0116</v>
      </c>
      <c r="H127" t="s">
        <v>105</v>
      </c>
    </row>
    <row r="128" spans="4:8" x14ac:dyDescent="0.2">
      <c r="E128" t="str">
        <f>"01161"</f>
        <v>01161</v>
      </c>
      <c r="H128" t="s">
        <v>106</v>
      </c>
    </row>
    <row r="129" spans="4:8" x14ac:dyDescent="0.2">
      <c r="F129" t="str">
        <f>"01161.0"</f>
        <v>01161.0</v>
      </c>
      <c r="H129" t="s">
        <v>107</v>
      </c>
    </row>
    <row r="130" spans="4:8" x14ac:dyDescent="0.2">
      <c r="G130" t="str">
        <f>"01161.00"</f>
        <v>01161.00</v>
      </c>
      <c r="H130" t="s">
        <v>107</v>
      </c>
    </row>
    <row r="131" spans="4:8" x14ac:dyDescent="0.2">
      <c r="E131" t="str">
        <f>"01169"</f>
        <v>01169</v>
      </c>
      <c r="H131" t="s">
        <v>108</v>
      </c>
    </row>
    <row r="132" spans="4:8" x14ac:dyDescent="0.2">
      <c r="F132" t="str">
        <f>"01169.0"</f>
        <v>01169.0</v>
      </c>
      <c r="H132" t="s">
        <v>108</v>
      </c>
    </row>
    <row r="133" spans="4:8" x14ac:dyDescent="0.2">
      <c r="G133" t="str">
        <f>"01169.01"</f>
        <v>01169.01</v>
      </c>
      <c r="H133" t="s">
        <v>109</v>
      </c>
    </row>
    <row r="134" spans="4:8" x14ac:dyDescent="0.2">
      <c r="G134" t="str">
        <f>"01169.09"</f>
        <v>01169.09</v>
      </c>
      <c r="H134" t="s">
        <v>110</v>
      </c>
    </row>
    <row r="135" spans="4:8" x14ac:dyDescent="0.2">
      <c r="D135" t="str">
        <f>"0119"</f>
        <v>0119</v>
      </c>
      <c r="H135" t="s">
        <v>111</v>
      </c>
    </row>
    <row r="136" spans="4:8" x14ac:dyDescent="0.2">
      <c r="E136" t="str">
        <f>"01191"</f>
        <v>01191</v>
      </c>
      <c r="H136" t="s">
        <v>112</v>
      </c>
    </row>
    <row r="137" spans="4:8" x14ac:dyDescent="0.2">
      <c r="F137" t="str">
        <f>"01191.1"</f>
        <v>01191.1</v>
      </c>
      <c r="H137" t="s">
        <v>112</v>
      </c>
    </row>
    <row r="138" spans="4:8" x14ac:dyDescent="0.2">
      <c r="G138" t="str">
        <f>"01191.10"</f>
        <v>01191.10</v>
      </c>
      <c r="H138" t="s">
        <v>112</v>
      </c>
    </row>
    <row r="139" spans="4:8" x14ac:dyDescent="0.2">
      <c r="F139" t="str">
        <f>"01191.2"</f>
        <v>01191.2</v>
      </c>
      <c r="H139" t="s">
        <v>113</v>
      </c>
    </row>
    <row r="140" spans="4:8" x14ac:dyDescent="0.2">
      <c r="G140" t="str">
        <f>"01191.20"</f>
        <v>01191.20</v>
      </c>
      <c r="H140" t="s">
        <v>113</v>
      </c>
    </row>
    <row r="141" spans="4:8" x14ac:dyDescent="0.2">
      <c r="E141" t="str">
        <f>"01192"</f>
        <v>01192</v>
      </c>
      <c r="H141" t="s">
        <v>114</v>
      </c>
    </row>
    <row r="142" spans="4:8" x14ac:dyDescent="0.2">
      <c r="F142" t="str">
        <f>"01192.1"</f>
        <v>01192.1</v>
      </c>
      <c r="H142" t="s">
        <v>114</v>
      </c>
    </row>
    <row r="143" spans="4:8" x14ac:dyDescent="0.2">
      <c r="G143" t="str">
        <f>"01192.11"</f>
        <v>01192.11</v>
      </c>
      <c r="H143" t="s">
        <v>115</v>
      </c>
    </row>
    <row r="144" spans="4:8" x14ac:dyDescent="0.2">
      <c r="G144" t="str">
        <f>"01192.19"</f>
        <v>01192.19</v>
      </c>
      <c r="H144" t="s">
        <v>116</v>
      </c>
    </row>
    <row r="145" spans="5:8" x14ac:dyDescent="0.2">
      <c r="F145" t="str">
        <f>"01192.2"</f>
        <v>01192.2</v>
      </c>
      <c r="H145" t="s">
        <v>117</v>
      </c>
    </row>
    <row r="146" spans="5:8" x14ac:dyDescent="0.2">
      <c r="G146" t="str">
        <f>"01192.20"</f>
        <v>01192.20</v>
      </c>
      <c r="H146" t="s">
        <v>117</v>
      </c>
    </row>
    <row r="147" spans="5:8" x14ac:dyDescent="0.2">
      <c r="E147" t="str">
        <f>"01193"</f>
        <v>01193</v>
      </c>
      <c r="H147" t="s">
        <v>118</v>
      </c>
    </row>
    <row r="148" spans="5:8" x14ac:dyDescent="0.2">
      <c r="F148" t="str">
        <f>"01193.1"</f>
        <v>01193.1</v>
      </c>
      <c r="H148" t="s">
        <v>118</v>
      </c>
    </row>
    <row r="149" spans="5:8" x14ac:dyDescent="0.2">
      <c r="G149" t="str">
        <f>"01193.10"</f>
        <v>01193.10</v>
      </c>
      <c r="H149" t="s">
        <v>118</v>
      </c>
    </row>
    <row r="150" spans="5:8" x14ac:dyDescent="0.2">
      <c r="F150" t="str">
        <f>"01193.2"</f>
        <v>01193.2</v>
      </c>
      <c r="H150" t="s">
        <v>119</v>
      </c>
    </row>
    <row r="151" spans="5:8" x14ac:dyDescent="0.2">
      <c r="G151" t="str">
        <f>"01193.20"</f>
        <v>01193.20</v>
      </c>
      <c r="H151" t="s">
        <v>119</v>
      </c>
    </row>
    <row r="152" spans="5:8" x14ac:dyDescent="0.2">
      <c r="E152" t="str">
        <f>"01194"</f>
        <v>01194</v>
      </c>
      <c r="H152" t="s">
        <v>120</v>
      </c>
    </row>
    <row r="153" spans="5:8" x14ac:dyDescent="0.2">
      <c r="F153" t="str">
        <f>"01194.1"</f>
        <v>01194.1</v>
      </c>
      <c r="H153" t="s">
        <v>121</v>
      </c>
    </row>
    <row r="154" spans="5:8" x14ac:dyDescent="0.2">
      <c r="G154" t="str">
        <f>"01194.10"</f>
        <v>01194.10</v>
      </c>
      <c r="H154" t="s">
        <v>121</v>
      </c>
    </row>
    <row r="155" spans="5:8" x14ac:dyDescent="0.2">
      <c r="F155" t="str">
        <f>"01194.2"</f>
        <v>01194.2</v>
      </c>
      <c r="H155" t="s">
        <v>122</v>
      </c>
    </row>
    <row r="156" spans="5:8" x14ac:dyDescent="0.2">
      <c r="G156" t="str">
        <f>"01194.20"</f>
        <v>01194.20</v>
      </c>
      <c r="H156" t="s">
        <v>122</v>
      </c>
    </row>
    <row r="157" spans="5:8" x14ac:dyDescent="0.2">
      <c r="E157" t="str">
        <f>"01199"</f>
        <v>01199</v>
      </c>
      <c r="H157" t="s">
        <v>123</v>
      </c>
    </row>
    <row r="158" spans="5:8" x14ac:dyDescent="0.2">
      <c r="F158" t="str">
        <f>"01199.0"</f>
        <v>01199.0</v>
      </c>
      <c r="H158" t="s">
        <v>123</v>
      </c>
    </row>
    <row r="159" spans="5:8" x14ac:dyDescent="0.2">
      <c r="G159" t="str">
        <f>"01199.01"</f>
        <v>01199.01</v>
      </c>
      <c r="H159" t="s">
        <v>124</v>
      </c>
    </row>
    <row r="160" spans="5:8" x14ac:dyDescent="0.2">
      <c r="G160" t="str">
        <f>"01199.09"</f>
        <v>01199.09</v>
      </c>
      <c r="H160" t="s">
        <v>123</v>
      </c>
    </row>
    <row r="161" spans="3:8" x14ac:dyDescent="0.2">
      <c r="C161" t="str">
        <f>"012"</f>
        <v>012</v>
      </c>
      <c r="H161" t="s">
        <v>125</v>
      </c>
    </row>
    <row r="162" spans="3:8" x14ac:dyDescent="0.2">
      <c r="D162" t="str">
        <f>"0121"</f>
        <v>0121</v>
      </c>
      <c r="H162" t="s">
        <v>126</v>
      </c>
    </row>
    <row r="163" spans="3:8" x14ac:dyDescent="0.2">
      <c r="E163" t="str">
        <f>"01210"</f>
        <v>01210</v>
      </c>
      <c r="H163" t="s">
        <v>126</v>
      </c>
    </row>
    <row r="164" spans="3:8" x14ac:dyDescent="0.2">
      <c r="F164" t="str">
        <f>"01210.0"</f>
        <v>01210.0</v>
      </c>
      <c r="H164" t="s">
        <v>126</v>
      </c>
    </row>
    <row r="165" spans="3:8" x14ac:dyDescent="0.2">
      <c r="G165" t="str">
        <f>"01210.00"</f>
        <v>01210.00</v>
      </c>
      <c r="H165" t="s">
        <v>126</v>
      </c>
    </row>
    <row r="166" spans="3:8" x14ac:dyDescent="0.2">
      <c r="D166" t="str">
        <f>"0122"</f>
        <v>0122</v>
      </c>
      <c r="H166" t="s">
        <v>127</v>
      </c>
    </row>
    <row r="167" spans="3:8" x14ac:dyDescent="0.2">
      <c r="E167" t="str">
        <f>"01221"</f>
        <v>01221</v>
      </c>
      <c r="H167" t="s">
        <v>128</v>
      </c>
    </row>
    <row r="168" spans="3:8" x14ac:dyDescent="0.2">
      <c r="F168" t="str">
        <f>"01221.0"</f>
        <v>01221.0</v>
      </c>
      <c r="H168" t="s">
        <v>128</v>
      </c>
    </row>
    <row r="169" spans="3:8" x14ac:dyDescent="0.2">
      <c r="G169" t="str">
        <f>"01221.00"</f>
        <v>01221.00</v>
      </c>
      <c r="H169" t="s">
        <v>128</v>
      </c>
    </row>
    <row r="170" spans="3:8" x14ac:dyDescent="0.2">
      <c r="E170" t="str">
        <f>"01222"</f>
        <v>01222</v>
      </c>
      <c r="H170" t="s">
        <v>129</v>
      </c>
    </row>
    <row r="171" spans="3:8" x14ac:dyDescent="0.2">
      <c r="F171" t="str">
        <f>"01222.0"</f>
        <v>01222.0</v>
      </c>
      <c r="H171" t="s">
        <v>129</v>
      </c>
    </row>
    <row r="172" spans="3:8" x14ac:dyDescent="0.2">
      <c r="G172" t="str">
        <f>"01222.00"</f>
        <v>01222.00</v>
      </c>
      <c r="H172" t="s">
        <v>129</v>
      </c>
    </row>
    <row r="173" spans="3:8" x14ac:dyDescent="0.2">
      <c r="E173" t="str">
        <f>"01223"</f>
        <v>01223</v>
      </c>
      <c r="H173" t="s">
        <v>130</v>
      </c>
    </row>
    <row r="174" spans="3:8" x14ac:dyDescent="0.2">
      <c r="F174" t="str">
        <f>"01223.0"</f>
        <v>01223.0</v>
      </c>
      <c r="H174" t="s">
        <v>130</v>
      </c>
    </row>
    <row r="175" spans="3:8" x14ac:dyDescent="0.2">
      <c r="G175" t="str">
        <f>"01223.00"</f>
        <v>01223.00</v>
      </c>
      <c r="H175" t="s">
        <v>130</v>
      </c>
    </row>
    <row r="176" spans="3:8" x14ac:dyDescent="0.2">
      <c r="E176" t="str">
        <f>"01224"</f>
        <v>01224</v>
      </c>
      <c r="H176" t="s">
        <v>131</v>
      </c>
    </row>
    <row r="177" spans="5:8" x14ac:dyDescent="0.2">
      <c r="F177" t="str">
        <f>"01224.0"</f>
        <v>01224.0</v>
      </c>
      <c r="H177" t="s">
        <v>131</v>
      </c>
    </row>
    <row r="178" spans="5:8" x14ac:dyDescent="0.2">
      <c r="G178" t="str">
        <f>"01224.00"</f>
        <v>01224.00</v>
      </c>
      <c r="H178" t="s">
        <v>131</v>
      </c>
    </row>
    <row r="179" spans="5:8" x14ac:dyDescent="0.2">
      <c r="E179" t="str">
        <f>"01225"</f>
        <v>01225</v>
      </c>
      <c r="H179" t="s">
        <v>132</v>
      </c>
    </row>
    <row r="180" spans="5:8" x14ac:dyDescent="0.2">
      <c r="F180" t="str">
        <f>"01225.0"</f>
        <v>01225.0</v>
      </c>
      <c r="H180" t="s">
        <v>132</v>
      </c>
    </row>
    <row r="181" spans="5:8" x14ac:dyDescent="0.2">
      <c r="G181" t="str">
        <f>"01225.00"</f>
        <v>01225.00</v>
      </c>
      <c r="H181" t="s">
        <v>132</v>
      </c>
    </row>
    <row r="182" spans="5:8" x14ac:dyDescent="0.2">
      <c r="E182" t="str">
        <f>"01226"</f>
        <v>01226</v>
      </c>
      <c r="H182" t="s">
        <v>133</v>
      </c>
    </row>
    <row r="183" spans="5:8" x14ac:dyDescent="0.2">
      <c r="F183" t="str">
        <f>"01226.0"</f>
        <v>01226.0</v>
      </c>
      <c r="H183" t="s">
        <v>133</v>
      </c>
    </row>
    <row r="184" spans="5:8" x14ac:dyDescent="0.2">
      <c r="G184" t="str">
        <f>"01226.00"</f>
        <v>01226.00</v>
      </c>
      <c r="H184" t="s">
        <v>133</v>
      </c>
    </row>
    <row r="185" spans="5:8" x14ac:dyDescent="0.2">
      <c r="E185" t="str">
        <f>"01227"</f>
        <v>01227</v>
      </c>
      <c r="H185" t="s">
        <v>134</v>
      </c>
    </row>
    <row r="186" spans="5:8" x14ac:dyDescent="0.2">
      <c r="F186" t="str">
        <f>"01227.0"</f>
        <v>01227.0</v>
      </c>
      <c r="H186" t="s">
        <v>134</v>
      </c>
    </row>
    <row r="187" spans="5:8" x14ac:dyDescent="0.2">
      <c r="G187" t="str">
        <f>"01227.00"</f>
        <v>01227.00</v>
      </c>
      <c r="H187" t="s">
        <v>134</v>
      </c>
    </row>
    <row r="188" spans="5:8" x14ac:dyDescent="0.2">
      <c r="E188" t="str">
        <f>"01228"</f>
        <v>01228</v>
      </c>
      <c r="H188" t="s">
        <v>135</v>
      </c>
    </row>
    <row r="189" spans="5:8" x14ac:dyDescent="0.2">
      <c r="F189" t="str">
        <f>"01228.0"</f>
        <v>01228.0</v>
      </c>
      <c r="H189" t="s">
        <v>135</v>
      </c>
    </row>
    <row r="190" spans="5:8" x14ac:dyDescent="0.2">
      <c r="G190" t="str">
        <f>"01228.00"</f>
        <v>01228.00</v>
      </c>
      <c r="H190" t="s">
        <v>135</v>
      </c>
    </row>
    <row r="191" spans="5:8" x14ac:dyDescent="0.2">
      <c r="E191" t="str">
        <f>"01229"</f>
        <v>01229</v>
      </c>
      <c r="H191" t="s">
        <v>136</v>
      </c>
    </row>
    <row r="192" spans="5:8" x14ac:dyDescent="0.2">
      <c r="F192" t="str">
        <f>"01229.0"</f>
        <v>01229.0</v>
      </c>
      <c r="H192" t="s">
        <v>136</v>
      </c>
    </row>
    <row r="193" spans="4:8" x14ac:dyDescent="0.2">
      <c r="G193" t="str">
        <f>"01229.01"</f>
        <v>01229.01</v>
      </c>
      <c r="H193" t="s">
        <v>137</v>
      </c>
    </row>
    <row r="194" spans="4:8" x14ac:dyDescent="0.2">
      <c r="G194" t="str">
        <f>"01229.02"</f>
        <v>01229.02</v>
      </c>
      <c r="H194" t="s">
        <v>138</v>
      </c>
    </row>
    <row r="195" spans="4:8" x14ac:dyDescent="0.2">
      <c r="G195" t="str">
        <f>"01229.03"</f>
        <v>01229.03</v>
      </c>
      <c r="H195" t="s">
        <v>139</v>
      </c>
    </row>
    <row r="196" spans="4:8" x14ac:dyDescent="0.2">
      <c r="G196" t="str">
        <f>"01229.04"</f>
        <v>01229.04</v>
      </c>
      <c r="H196" t="s">
        <v>140</v>
      </c>
    </row>
    <row r="197" spans="4:8" x14ac:dyDescent="0.2">
      <c r="G197" t="str">
        <f>"01229.09"</f>
        <v>01229.09</v>
      </c>
      <c r="H197" t="s">
        <v>141</v>
      </c>
    </row>
    <row r="198" spans="4:8" x14ac:dyDescent="0.2">
      <c r="D198" t="str">
        <f>"0123"</f>
        <v>0123</v>
      </c>
      <c r="H198" t="s">
        <v>142</v>
      </c>
    </row>
    <row r="199" spans="4:8" x14ac:dyDescent="0.2">
      <c r="E199" t="str">
        <f>"01231"</f>
        <v>01231</v>
      </c>
      <c r="H199" t="s">
        <v>143</v>
      </c>
    </row>
    <row r="200" spans="4:8" x14ac:dyDescent="0.2">
      <c r="F200" t="str">
        <f>"01231.0"</f>
        <v>01231.0</v>
      </c>
      <c r="H200" t="s">
        <v>143</v>
      </c>
    </row>
    <row r="201" spans="4:8" x14ac:dyDescent="0.2">
      <c r="G201" t="str">
        <f>"01231.01"</f>
        <v>01231.01</v>
      </c>
      <c r="H201" t="s">
        <v>144</v>
      </c>
    </row>
    <row r="202" spans="4:8" x14ac:dyDescent="0.2">
      <c r="G202" t="str">
        <f>"01231.02"</f>
        <v>01231.02</v>
      </c>
      <c r="H202" t="s">
        <v>145</v>
      </c>
    </row>
    <row r="203" spans="4:8" x14ac:dyDescent="0.2">
      <c r="E203" t="str">
        <f>"01239"</f>
        <v>01239</v>
      </c>
      <c r="H203" t="s">
        <v>146</v>
      </c>
    </row>
    <row r="204" spans="4:8" x14ac:dyDescent="0.2">
      <c r="F204" t="str">
        <f>"01239.0"</f>
        <v>01239.0</v>
      </c>
      <c r="H204" t="s">
        <v>146</v>
      </c>
    </row>
    <row r="205" spans="4:8" x14ac:dyDescent="0.2">
      <c r="G205" t="str">
        <f>"01239.01"</f>
        <v>01239.01</v>
      </c>
      <c r="H205" t="s">
        <v>147</v>
      </c>
    </row>
    <row r="206" spans="4:8" x14ac:dyDescent="0.2">
      <c r="G206" t="str">
        <f>"01239.02"</f>
        <v>01239.02</v>
      </c>
      <c r="H206" t="s">
        <v>148</v>
      </c>
    </row>
    <row r="207" spans="4:8" x14ac:dyDescent="0.2">
      <c r="G207" t="str">
        <f>"01239.09"</f>
        <v>01239.09</v>
      </c>
      <c r="H207" t="s">
        <v>149</v>
      </c>
    </row>
    <row r="208" spans="4:8" x14ac:dyDescent="0.2">
      <c r="D208" t="str">
        <f>"0124"</f>
        <v>0124</v>
      </c>
      <c r="H208" t="s">
        <v>150</v>
      </c>
    </row>
    <row r="209" spans="4:8" x14ac:dyDescent="0.2">
      <c r="E209" t="str">
        <f>"01241"</f>
        <v>01241</v>
      </c>
      <c r="H209" t="s">
        <v>151</v>
      </c>
    </row>
    <row r="210" spans="4:8" x14ac:dyDescent="0.2">
      <c r="F210" t="str">
        <f>"01241.0"</f>
        <v>01241.0</v>
      </c>
      <c r="H210" t="s">
        <v>151</v>
      </c>
    </row>
    <row r="211" spans="4:8" x14ac:dyDescent="0.2">
      <c r="G211" t="str">
        <f>"01241.01"</f>
        <v>01241.01</v>
      </c>
      <c r="H211" t="s">
        <v>152</v>
      </c>
    </row>
    <row r="212" spans="4:8" x14ac:dyDescent="0.2">
      <c r="G212" t="str">
        <f>"01241.02"</f>
        <v>01241.02</v>
      </c>
      <c r="H212" t="s">
        <v>153</v>
      </c>
    </row>
    <row r="213" spans="4:8" x14ac:dyDescent="0.2">
      <c r="G213" t="str">
        <f>"01241.03"</f>
        <v>01241.03</v>
      </c>
      <c r="H213" t="s">
        <v>154</v>
      </c>
    </row>
    <row r="214" spans="4:8" x14ac:dyDescent="0.2">
      <c r="E214" t="str">
        <f>"01249"</f>
        <v>01249</v>
      </c>
      <c r="H214" t="s">
        <v>155</v>
      </c>
    </row>
    <row r="215" spans="4:8" x14ac:dyDescent="0.2">
      <c r="F215" t="str">
        <f>"01249.0"</f>
        <v>01249.0</v>
      </c>
      <c r="H215" t="s">
        <v>155</v>
      </c>
    </row>
    <row r="216" spans="4:8" x14ac:dyDescent="0.2">
      <c r="G216" t="str">
        <f>"01249.01"</f>
        <v>01249.01</v>
      </c>
      <c r="H216" t="s">
        <v>156</v>
      </c>
    </row>
    <row r="217" spans="4:8" x14ac:dyDescent="0.2">
      <c r="G217" t="str">
        <f>"01249.02"</f>
        <v>01249.02</v>
      </c>
      <c r="H217" t="s">
        <v>157</v>
      </c>
    </row>
    <row r="218" spans="4:8" x14ac:dyDescent="0.2">
      <c r="G218" t="str">
        <f>"01249.03"</f>
        <v>01249.03</v>
      </c>
      <c r="H218" t="s">
        <v>158</v>
      </c>
    </row>
    <row r="219" spans="4:8" x14ac:dyDescent="0.2">
      <c r="G219" t="str">
        <f>"01249.04"</f>
        <v>01249.04</v>
      </c>
      <c r="H219" t="s">
        <v>159</v>
      </c>
    </row>
    <row r="220" spans="4:8" x14ac:dyDescent="0.2">
      <c r="G220" t="str">
        <f>"01249.05"</f>
        <v>01249.05</v>
      </c>
      <c r="H220" t="s">
        <v>160</v>
      </c>
    </row>
    <row r="221" spans="4:8" x14ac:dyDescent="0.2">
      <c r="G221" t="str">
        <f>"01249.06"</f>
        <v>01249.06</v>
      </c>
      <c r="H221" t="s">
        <v>161</v>
      </c>
    </row>
    <row r="222" spans="4:8" x14ac:dyDescent="0.2">
      <c r="G222" t="str">
        <f>"01249.09"</f>
        <v>01249.09</v>
      </c>
      <c r="H222" t="s">
        <v>162</v>
      </c>
    </row>
    <row r="223" spans="4:8" x14ac:dyDescent="0.2">
      <c r="D223" t="str">
        <f>"0125"</f>
        <v>0125</v>
      </c>
      <c r="H223" t="s">
        <v>163</v>
      </c>
    </row>
    <row r="224" spans="4:8" x14ac:dyDescent="0.2">
      <c r="E224" t="str">
        <f>"01251"</f>
        <v>01251</v>
      </c>
      <c r="H224" t="s">
        <v>164</v>
      </c>
    </row>
    <row r="225" spans="5:8" x14ac:dyDescent="0.2">
      <c r="F225" t="str">
        <f>"01251.0"</f>
        <v>01251.0</v>
      </c>
      <c r="H225" t="s">
        <v>165</v>
      </c>
    </row>
    <row r="226" spans="5:8" x14ac:dyDescent="0.2">
      <c r="G226" t="str">
        <f>"01251.01"</f>
        <v>01251.01</v>
      </c>
      <c r="H226" t="s">
        <v>166</v>
      </c>
    </row>
    <row r="227" spans="5:8" x14ac:dyDescent="0.2">
      <c r="G227" t="str">
        <f>"01251.02"</f>
        <v>01251.02</v>
      </c>
      <c r="H227" t="s">
        <v>167</v>
      </c>
    </row>
    <row r="228" spans="5:8" x14ac:dyDescent="0.2">
      <c r="G228" t="str">
        <f>"01251.03"</f>
        <v>01251.03</v>
      </c>
      <c r="H228" t="s">
        <v>168</v>
      </c>
    </row>
    <row r="229" spans="5:8" x14ac:dyDescent="0.2">
      <c r="G229" t="str">
        <f>"01251.04"</f>
        <v>01251.04</v>
      </c>
      <c r="H229" t="s">
        <v>169</v>
      </c>
    </row>
    <row r="230" spans="5:8" x14ac:dyDescent="0.2">
      <c r="G230" t="str">
        <f>"01251.05"</f>
        <v>01251.05</v>
      </c>
      <c r="H230" t="s">
        <v>170</v>
      </c>
    </row>
    <row r="231" spans="5:8" x14ac:dyDescent="0.2">
      <c r="G231" t="str">
        <f>"01251.06"</f>
        <v>01251.06</v>
      </c>
      <c r="H231" t="s">
        <v>171</v>
      </c>
    </row>
    <row r="232" spans="5:8" x14ac:dyDescent="0.2">
      <c r="G232" t="str">
        <f>"01251.09"</f>
        <v>01251.09</v>
      </c>
      <c r="H232" t="s">
        <v>172</v>
      </c>
    </row>
    <row r="233" spans="5:8" x14ac:dyDescent="0.2">
      <c r="E233" t="str">
        <f>"01252"</f>
        <v>01252</v>
      </c>
      <c r="H233" t="s">
        <v>173</v>
      </c>
    </row>
    <row r="234" spans="5:8" x14ac:dyDescent="0.2">
      <c r="F234" t="str">
        <f>"01252.0"</f>
        <v>01252.0</v>
      </c>
      <c r="H234" t="s">
        <v>173</v>
      </c>
    </row>
    <row r="235" spans="5:8" x14ac:dyDescent="0.2">
      <c r="G235" t="str">
        <f>"01252.01"</f>
        <v>01252.01</v>
      </c>
      <c r="H235" t="s">
        <v>174</v>
      </c>
    </row>
    <row r="236" spans="5:8" x14ac:dyDescent="0.2">
      <c r="G236" t="str">
        <f>"01252.02"</f>
        <v>01252.02</v>
      </c>
      <c r="H236" t="s">
        <v>175</v>
      </c>
    </row>
    <row r="237" spans="5:8" x14ac:dyDescent="0.2">
      <c r="G237" t="str">
        <f>"01252.03"</f>
        <v>01252.03</v>
      </c>
      <c r="H237" t="s">
        <v>176</v>
      </c>
    </row>
    <row r="238" spans="5:8" x14ac:dyDescent="0.2">
      <c r="G238" t="str">
        <f>"01252.09"</f>
        <v>01252.09</v>
      </c>
      <c r="H238" t="s">
        <v>177</v>
      </c>
    </row>
    <row r="239" spans="5:8" x14ac:dyDescent="0.2">
      <c r="E239" t="str">
        <f>"01259"</f>
        <v>01259</v>
      </c>
      <c r="H239" t="s">
        <v>178</v>
      </c>
    </row>
    <row r="240" spans="5:8" x14ac:dyDescent="0.2">
      <c r="F240" t="str">
        <f>"01259.1"</f>
        <v>01259.1</v>
      </c>
      <c r="H240" t="s">
        <v>178</v>
      </c>
    </row>
    <row r="241" spans="4:8" x14ac:dyDescent="0.2">
      <c r="G241" t="str">
        <f>"01259.01"</f>
        <v>01259.01</v>
      </c>
      <c r="H241" t="s">
        <v>179</v>
      </c>
    </row>
    <row r="242" spans="4:8" x14ac:dyDescent="0.2">
      <c r="G242" t="str">
        <f>"01259.09"</f>
        <v>01259.09</v>
      </c>
      <c r="H242" t="s">
        <v>180</v>
      </c>
    </row>
    <row r="243" spans="4:8" x14ac:dyDescent="0.2">
      <c r="F243" t="str">
        <f>"01259.2"</f>
        <v>01259.2</v>
      </c>
      <c r="H243" t="s">
        <v>181</v>
      </c>
    </row>
    <row r="244" spans="4:8" x14ac:dyDescent="0.2">
      <c r="G244" t="str">
        <f>"01259.20"</f>
        <v>01259.20</v>
      </c>
      <c r="H244" t="s">
        <v>181</v>
      </c>
    </row>
    <row r="245" spans="4:8" x14ac:dyDescent="0.2">
      <c r="D245" t="str">
        <f>"0126"</f>
        <v>0126</v>
      </c>
      <c r="H245" t="s">
        <v>182</v>
      </c>
    </row>
    <row r="246" spans="4:8" x14ac:dyDescent="0.2">
      <c r="E246" t="str">
        <f>"01261"</f>
        <v>01261</v>
      </c>
      <c r="H246" t="s">
        <v>183</v>
      </c>
    </row>
    <row r="247" spans="4:8" x14ac:dyDescent="0.2">
      <c r="F247" t="str">
        <f>"01261.0"</f>
        <v>01261.0</v>
      </c>
      <c r="H247" t="s">
        <v>184</v>
      </c>
    </row>
    <row r="248" spans="4:8" x14ac:dyDescent="0.2">
      <c r="G248" t="str">
        <f>"01261.00"</f>
        <v>01261.00</v>
      </c>
      <c r="H248" t="s">
        <v>184</v>
      </c>
    </row>
    <row r="249" spans="4:8" x14ac:dyDescent="0.2">
      <c r="E249" t="str">
        <f>"01262"</f>
        <v>01262</v>
      </c>
      <c r="H249" t="s">
        <v>185</v>
      </c>
    </row>
    <row r="250" spans="4:8" x14ac:dyDescent="0.2">
      <c r="F250" t="str">
        <f>"01262.0"</f>
        <v>01262.0</v>
      </c>
      <c r="H250" t="s">
        <v>186</v>
      </c>
    </row>
    <row r="251" spans="4:8" x14ac:dyDescent="0.2">
      <c r="G251" t="str">
        <f>"01262.00"</f>
        <v>01262.00</v>
      </c>
      <c r="H251" t="s">
        <v>186</v>
      </c>
    </row>
    <row r="252" spans="4:8" x14ac:dyDescent="0.2">
      <c r="E252" t="str">
        <f>"01269"</f>
        <v>01269</v>
      </c>
      <c r="H252" t="s">
        <v>187</v>
      </c>
    </row>
    <row r="253" spans="4:8" x14ac:dyDescent="0.2">
      <c r="F253" t="str">
        <f>"01269.0"</f>
        <v>01269.0</v>
      </c>
      <c r="H253" t="s">
        <v>187</v>
      </c>
    </row>
    <row r="254" spans="4:8" x14ac:dyDescent="0.2">
      <c r="G254" t="str">
        <f>"01269.01"</f>
        <v>01269.01</v>
      </c>
      <c r="H254" t="s">
        <v>188</v>
      </c>
    </row>
    <row r="255" spans="4:8" x14ac:dyDescent="0.2">
      <c r="G255" t="str">
        <f>"01269.09"</f>
        <v>01269.09</v>
      </c>
      <c r="H255" t="s">
        <v>189</v>
      </c>
    </row>
    <row r="256" spans="4:8" x14ac:dyDescent="0.2">
      <c r="D256" t="str">
        <f>"0127"</f>
        <v>0127</v>
      </c>
      <c r="H256" t="s">
        <v>190</v>
      </c>
    </row>
    <row r="257" spans="4:8" x14ac:dyDescent="0.2">
      <c r="E257" t="str">
        <f>"01271"</f>
        <v>01271</v>
      </c>
      <c r="H257" t="s">
        <v>191</v>
      </c>
    </row>
    <row r="258" spans="4:8" x14ac:dyDescent="0.2">
      <c r="F258" t="str">
        <f>"01271.0"</f>
        <v>01271.0</v>
      </c>
      <c r="H258" t="s">
        <v>191</v>
      </c>
    </row>
    <row r="259" spans="4:8" x14ac:dyDescent="0.2">
      <c r="G259" t="str">
        <f>"01271.01"</f>
        <v>01271.01</v>
      </c>
      <c r="H259" t="s">
        <v>192</v>
      </c>
    </row>
    <row r="260" spans="4:8" x14ac:dyDescent="0.2">
      <c r="G260" t="str">
        <f>"01271.02"</f>
        <v>01271.02</v>
      </c>
      <c r="H260" t="s">
        <v>193</v>
      </c>
    </row>
    <row r="261" spans="4:8" x14ac:dyDescent="0.2">
      <c r="E261" t="str">
        <f>"01272"</f>
        <v>01272</v>
      </c>
      <c r="H261" t="s">
        <v>194</v>
      </c>
    </row>
    <row r="262" spans="4:8" x14ac:dyDescent="0.2">
      <c r="F262" t="str">
        <f>"01272.0"</f>
        <v>01272.0</v>
      </c>
      <c r="H262" t="s">
        <v>195</v>
      </c>
    </row>
    <row r="263" spans="4:8" x14ac:dyDescent="0.2">
      <c r="G263" t="str">
        <f>"01272.00"</f>
        <v>01272.00</v>
      </c>
      <c r="H263" t="s">
        <v>195</v>
      </c>
    </row>
    <row r="264" spans="4:8" x14ac:dyDescent="0.2">
      <c r="E264" t="str">
        <f>"01279"</f>
        <v>01279</v>
      </c>
      <c r="H264" t="s">
        <v>196</v>
      </c>
    </row>
    <row r="265" spans="4:8" x14ac:dyDescent="0.2">
      <c r="F265" t="str">
        <f>"01279.0"</f>
        <v>01279.0</v>
      </c>
      <c r="H265" t="s">
        <v>196</v>
      </c>
    </row>
    <row r="266" spans="4:8" x14ac:dyDescent="0.2">
      <c r="G266" t="str">
        <f>"01279.01"</f>
        <v>01279.01</v>
      </c>
      <c r="H266" t="s">
        <v>197</v>
      </c>
    </row>
    <row r="267" spans="4:8" x14ac:dyDescent="0.2">
      <c r="G267" t="str">
        <f>"01279.09"</f>
        <v>01279.09</v>
      </c>
      <c r="H267" t="s">
        <v>198</v>
      </c>
    </row>
    <row r="268" spans="4:8" x14ac:dyDescent="0.2">
      <c r="D268" t="str">
        <f>"0128"</f>
        <v>0128</v>
      </c>
      <c r="H268" t="s">
        <v>199</v>
      </c>
    </row>
    <row r="269" spans="4:8" x14ac:dyDescent="0.2">
      <c r="E269" t="str">
        <f>"01281"</f>
        <v>01281</v>
      </c>
      <c r="H269" t="s">
        <v>200</v>
      </c>
    </row>
    <row r="270" spans="4:8" x14ac:dyDescent="0.2">
      <c r="F270" t="str">
        <f>"01281.0"</f>
        <v>01281.0</v>
      </c>
      <c r="H270" t="s">
        <v>201</v>
      </c>
    </row>
    <row r="271" spans="4:8" x14ac:dyDescent="0.2">
      <c r="G271" t="str">
        <f>"01281.01"</f>
        <v>01281.01</v>
      </c>
      <c r="H271" t="s">
        <v>202</v>
      </c>
    </row>
    <row r="272" spans="4:8" x14ac:dyDescent="0.2">
      <c r="G272" t="str">
        <f>"01281.02"</f>
        <v>01281.02</v>
      </c>
      <c r="H272" t="s">
        <v>203</v>
      </c>
    </row>
    <row r="273" spans="4:8" x14ac:dyDescent="0.2">
      <c r="E273" t="str">
        <f>"01282"</f>
        <v>01282</v>
      </c>
      <c r="H273" t="s">
        <v>204</v>
      </c>
    </row>
    <row r="274" spans="4:8" x14ac:dyDescent="0.2">
      <c r="F274" t="str">
        <f>"01282.0"</f>
        <v>01282.0</v>
      </c>
      <c r="H274" t="s">
        <v>205</v>
      </c>
    </row>
    <row r="275" spans="4:8" x14ac:dyDescent="0.2">
      <c r="G275" t="str">
        <f>"01282.00"</f>
        <v>01282.00</v>
      </c>
      <c r="H275" t="s">
        <v>205</v>
      </c>
    </row>
    <row r="276" spans="4:8" x14ac:dyDescent="0.2">
      <c r="E276" t="str">
        <f>"01289"</f>
        <v>01289</v>
      </c>
      <c r="H276" t="s">
        <v>206</v>
      </c>
    </row>
    <row r="277" spans="4:8" x14ac:dyDescent="0.2">
      <c r="F277" t="str">
        <f>"01289.1"</f>
        <v>01289.1</v>
      </c>
      <c r="H277" t="s">
        <v>207</v>
      </c>
    </row>
    <row r="278" spans="4:8" x14ac:dyDescent="0.2">
      <c r="G278" t="str">
        <f>"01289.11"</f>
        <v>01289.11</v>
      </c>
      <c r="H278" t="s">
        <v>208</v>
      </c>
    </row>
    <row r="279" spans="4:8" x14ac:dyDescent="0.2">
      <c r="G279" t="str">
        <f>"01289.12"</f>
        <v>01289.12</v>
      </c>
      <c r="H279" t="s">
        <v>209</v>
      </c>
    </row>
    <row r="280" spans="4:8" x14ac:dyDescent="0.2">
      <c r="G280" t="str">
        <f>"01289.13"</f>
        <v>01289.13</v>
      </c>
      <c r="H280" t="s">
        <v>210</v>
      </c>
    </row>
    <row r="281" spans="4:8" x14ac:dyDescent="0.2">
      <c r="G281" t="str">
        <f>"01289.14"</f>
        <v>01289.14</v>
      </c>
      <c r="H281" t="s">
        <v>211</v>
      </c>
    </row>
    <row r="282" spans="4:8" x14ac:dyDescent="0.2">
      <c r="G282" t="str">
        <f>"01289.15"</f>
        <v>01289.15</v>
      </c>
      <c r="H282" t="s">
        <v>212</v>
      </c>
    </row>
    <row r="283" spans="4:8" x14ac:dyDescent="0.2">
      <c r="G283" t="str">
        <f>"01289.16"</f>
        <v>01289.16</v>
      </c>
      <c r="H283" t="s">
        <v>213</v>
      </c>
    </row>
    <row r="284" spans="4:8" x14ac:dyDescent="0.2">
      <c r="G284" t="str">
        <f>"01289.17"</f>
        <v>01289.17</v>
      </c>
      <c r="H284" t="s">
        <v>214</v>
      </c>
    </row>
    <row r="285" spans="4:8" x14ac:dyDescent="0.2">
      <c r="G285" t="str">
        <f>"01289.19"</f>
        <v>01289.19</v>
      </c>
      <c r="H285" t="s">
        <v>215</v>
      </c>
    </row>
    <row r="286" spans="4:8" x14ac:dyDescent="0.2">
      <c r="F286" t="str">
        <f>"01289.2"</f>
        <v>01289.2</v>
      </c>
      <c r="H286" t="s">
        <v>216</v>
      </c>
    </row>
    <row r="287" spans="4:8" x14ac:dyDescent="0.2">
      <c r="G287" t="str">
        <f>"01289.20"</f>
        <v>01289.20</v>
      </c>
      <c r="H287" t="s">
        <v>216</v>
      </c>
    </row>
    <row r="288" spans="4:8" x14ac:dyDescent="0.2">
      <c r="D288" t="str">
        <f>"0129"</f>
        <v>0129</v>
      </c>
      <c r="H288" t="s">
        <v>217</v>
      </c>
    </row>
    <row r="289" spans="3:8" x14ac:dyDescent="0.2">
      <c r="E289" t="str">
        <f>"01291"</f>
        <v>01291</v>
      </c>
      <c r="H289" t="s">
        <v>218</v>
      </c>
    </row>
    <row r="290" spans="3:8" x14ac:dyDescent="0.2">
      <c r="F290" t="str">
        <f>"01291.0"</f>
        <v>01291.0</v>
      </c>
      <c r="H290" t="s">
        <v>219</v>
      </c>
    </row>
    <row r="291" spans="3:8" x14ac:dyDescent="0.2">
      <c r="G291" t="str">
        <f>"01291.00"</f>
        <v>01291.00</v>
      </c>
      <c r="H291" t="s">
        <v>219</v>
      </c>
    </row>
    <row r="292" spans="3:8" x14ac:dyDescent="0.2">
      <c r="E292" t="str">
        <f>"01292"</f>
        <v>01292</v>
      </c>
      <c r="H292" t="s">
        <v>220</v>
      </c>
    </row>
    <row r="293" spans="3:8" x14ac:dyDescent="0.2">
      <c r="F293" t="str">
        <f>"01292.0"</f>
        <v>01292.0</v>
      </c>
      <c r="H293" t="s">
        <v>221</v>
      </c>
    </row>
    <row r="294" spans="3:8" x14ac:dyDescent="0.2">
      <c r="G294" t="str">
        <f>"01292.00"</f>
        <v>01292.00</v>
      </c>
      <c r="H294" t="s">
        <v>221</v>
      </c>
    </row>
    <row r="295" spans="3:8" x14ac:dyDescent="0.2">
      <c r="E295" t="str">
        <f>"01299"</f>
        <v>01299</v>
      </c>
      <c r="H295" t="s">
        <v>222</v>
      </c>
    </row>
    <row r="296" spans="3:8" x14ac:dyDescent="0.2">
      <c r="F296" t="str">
        <f>"01299.0"</f>
        <v>01299.0</v>
      </c>
      <c r="H296" t="s">
        <v>222</v>
      </c>
    </row>
    <row r="297" spans="3:8" x14ac:dyDescent="0.2">
      <c r="G297" t="str">
        <f>"01299.01"</f>
        <v>01299.01</v>
      </c>
      <c r="H297" t="s">
        <v>223</v>
      </c>
    </row>
    <row r="298" spans="3:8" x14ac:dyDescent="0.2">
      <c r="G298" t="str">
        <f>"01299.09"</f>
        <v>01299.09</v>
      </c>
      <c r="H298" t="s">
        <v>222</v>
      </c>
    </row>
    <row r="299" spans="3:8" x14ac:dyDescent="0.2">
      <c r="C299" t="str">
        <f>"013"</f>
        <v>013</v>
      </c>
      <c r="H299" t="s">
        <v>224</v>
      </c>
    </row>
    <row r="300" spans="3:8" x14ac:dyDescent="0.2">
      <c r="D300" t="str">
        <f>"0130"</f>
        <v>0130</v>
      </c>
      <c r="H300" t="s">
        <v>224</v>
      </c>
    </row>
    <row r="301" spans="3:8" x14ac:dyDescent="0.2">
      <c r="E301" t="str">
        <f>"01301"</f>
        <v>01301</v>
      </c>
      <c r="H301" t="s">
        <v>225</v>
      </c>
    </row>
    <row r="302" spans="3:8" x14ac:dyDescent="0.2">
      <c r="F302" t="str">
        <f>"01301.0"</f>
        <v>01301.0</v>
      </c>
      <c r="H302" t="s">
        <v>225</v>
      </c>
    </row>
    <row r="303" spans="3:8" x14ac:dyDescent="0.2">
      <c r="G303" t="str">
        <f>"01301.00"</f>
        <v>01301.00</v>
      </c>
      <c r="H303" t="s">
        <v>225</v>
      </c>
    </row>
    <row r="304" spans="3:8" x14ac:dyDescent="0.2">
      <c r="E304" t="str">
        <f>"01302"</f>
        <v>01302</v>
      </c>
      <c r="H304" t="s">
        <v>226</v>
      </c>
    </row>
    <row r="305" spans="3:8" x14ac:dyDescent="0.2">
      <c r="F305" t="str">
        <f>"01302.0"</f>
        <v>01302.0</v>
      </c>
      <c r="H305" t="s">
        <v>226</v>
      </c>
    </row>
    <row r="306" spans="3:8" x14ac:dyDescent="0.2">
      <c r="G306" t="str">
        <f>"01302.01"</f>
        <v>01302.01</v>
      </c>
      <c r="H306" t="s">
        <v>227</v>
      </c>
    </row>
    <row r="307" spans="3:8" x14ac:dyDescent="0.2">
      <c r="G307" t="str">
        <f>"01302.02"</f>
        <v>01302.02</v>
      </c>
      <c r="H307" t="s">
        <v>228</v>
      </c>
    </row>
    <row r="308" spans="3:8" x14ac:dyDescent="0.2">
      <c r="C308" t="str">
        <f>"014"</f>
        <v>014</v>
      </c>
      <c r="H308" t="s">
        <v>229</v>
      </c>
    </row>
    <row r="309" spans="3:8" x14ac:dyDescent="0.2">
      <c r="D309" t="str">
        <f>"0141"</f>
        <v>0141</v>
      </c>
      <c r="H309" t="s">
        <v>230</v>
      </c>
    </row>
    <row r="310" spans="3:8" x14ac:dyDescent="0.2">
      <c r="E310" t="str">
        <f>"01411"</f>
        <v>01411</v>
      </c>
      <c r="H310" t="s">
        <v>231</v>
      </c>
    </row>
    <row r="311" spans="3:8" x14ac:dyDescent="0.2">
      <c r="F311" t="str">
        <f>"01411.1"</f>
        <v>01411.1</v>
      </c>
      <c r="H311" t="s">
        <v>232</v>
      </c>
    </row>
    <row r="312" spans="3:8" x14ac:dyDescent="0.2">
      <c r="G312" t="str">
        <f>"01411.11"</f>
        <v>01411.11</v>
      </c>
      <c r="H312" t="s">
        <v>233</v>
      </c>
    </row>
    <row r="313" spans="3:8" x14ac:dyDescent="0.2">
      <c r="G313" t="str">
        <f>"01411.12"</f>
        <v>01411.12</v>
      </c>
      <c r="H313" t="s">
        <v>234</v>
      </c>
    </row>
    <row r="314" spans="3:8" x14ac:dyDescent="0.2">
      <c r="G314" t="str">
        <f>"01411.13"</f>
        <v>01411.13</v>
      </c>
      <c r="H314" t="s">
        <v>235</v>
      </c>
    </row>
    <row r="315" spans="3:8" x14ac:dyDescent="0.2">
      <c r="F315" t="str">
        <f>"01411.2"</f>
        <v>01411.2</v>
      </c>
      <c r="H315" t="s">
        <v>236</v>
      </c>
    </row>
    <row r="316" spans="3:8" x14ac:dyDescent="0.2">
      <c r="G316" t="str">
        <f>"01411.21"</f>
        <v>01411.21</v>
      </c>
      <c r="H316" t="s">
        <v>237</v>
      </c>
    </row>
    <row r="317" spans="3:8" x14ac:dyDescent="0.2">
      <c r="G317" t="str">
        <f>"01411.22"</f>
        <v>01411.22</v>
      </c>
      <c r="H317" t="s">
        <v>238</v>
      </c>
    </row>
    <row r="318" spans="3:8" x14ac:dyDescent="0.2">
      <c r="G318" t="str">
        <f>"01411.23"</f>
        <v>01411.23</v>
      </c>
      <c r="H318" t="s">
        <v>239</v>
      </c>
    </row>
    <row r="319" spans="3:8" x14ac:dyDescent="0.2">
      <c r="G319" t="str">
        <f>"01411.24"</f>
        <v>01411.24</v>
      </c>
      <c r="H319" t="s">
        <v>240</v>
      </c>
    </row>
    <row r="320" spans="3:8" x14ac:dyDescent="0.2">
      <c r="G320" t="str">
        <f>"01411.25"</f>
        <v>01411.25</v>
      </c>
      <c r="H320" t="s">
        <v>241</v>
      </c>
    </row>
    <row r="321" spans="5:8" x14ac:dyDescent="0.2">
      <c r="E321" t="str">
        <f>"01412"</f>
        <v>01412</v>
      </c>
      <c r="H321" t="s">
        <v>242</v>
      </c>
    </row>
    <row r="322" spans="5:8" x14ac:dyDescent="0.2">
      <c r="F322" t="str">
        <f>"01412.1"</f>
        <v>01412.1</v>
      </c>
      <c r="H322" t="s">
        <v>243</v>
      </c>
    </row>
    <row r="323" spans="5:8" x14ac:dyDescent="0.2">
      <c r="G323" t="str">
        <f>"01412.11"</f>
        <v>01412.11</v>
      </c>
      <c r="H323" t="s">
        <v>244</v>
      </c>
    </row>
    <row r="324" spans="5:8" x14ac:dyDescent="0.2">
      <c r="G324" t="str">
        <f>"01412.12"</f>
        <v>01412.12</v>
      </c>
      <c r="H324" t="s">
        <v>245</v>
      </c>
    </row>
    <row r="325" spans="5:8" x14ac:dyDescent="0.2">
      <c r="G325" t="str">
        <f>"01412.13"</f>
        <v>01412.13</v>
      </c>
      <c r="H325" t="s">
        <v>246</v>
      </c>
    </row>
    <row r="326" spans="5:8" x14ac:dyDescent="0.2">
      <c r="F326" t="str">
        <f>"01412.2"</f>
        <v>01412.2</v>
      </c>
      <c r="H326" t="s">
        <v>247</v>
      </c>
    </row>
    <row r="327" spans="5:8" x14ac:dyDescent="0.2">
      <c r="G327" t="str">
        <f>"01412.21"</f>
        <v>01412.21</v>
      </c>
      <c r="H327" t="s">
        <v>248</v>
      </c>
    </row>
    <row r="328" spans="5:8" x14ac:dyDescent="0.2">
      <c r="G328" t="str">
        <f>"01412.22"</f>
        <v>01412.22</v>
      </c>
      <c r="H328" t="s">
        <v>249</v>
      </c>
    </row>
    <row r="329" spans="5:8" x14ac:dyDescent="0.2">
      <c r="G329" t="str">
        <f>"01412.23"</f>
        <v>01412.23</v>
      </c>
      <c r="H329" t="s">
        <v>250</v>
      </c>
    </row>
    <row r="330" spans="5:8" x14ac:dyDescent="0.2">
      <c r="G330" t="str">
        <f>"01412.24"</f>
        <v>01412.24</v>
      </c>
      <c r="H330" t="s">
        <v>251</v>
      </c>
    </row>
    <row r="331" spans="5:8" x14ac:dyDescent="0.2">
      <c r="G331" t="str">
        <f>"01412.25"</f>
        <v>01412.25</v>
      </c>
      <c r="H331" t="s">
        <v>252</v>
      </c>
    </row>
    <row r="332" spans="5:8" x14ac:dyDescent="0.2">
      <c r="E332" t="str">
        <f>"01419"</f>
        <v>01419</v>
      </c>
      <c r="H332" t="s">
        <v>253</v>
      </c>
    </row>
    <row r="333" spans="5:8" x14ac:dyDescent="0.2">
      <c r="F333" t="str">
        <f>"01419.1"</f>
        <v>01419.1</v>
      </c>
      <c r="H333" t="s">
        <v>254</v>
      </c>
    </row>
    <row r="334" spans="5:8" x14ac:dyDescent="0.2">
      <c r="G334" t="str">
        <f>"01419.11"</f>
        <v>01419.11</v>
      </c>
      <c r="H334" t="s">
        <v>255</v>
      </c>
    </row>
    <row r="335" spans="5:8" x14ac:dyDescent="0.2">
      <c r="G335" t="str">
        <f>"01419.12"</f>
        <v>01419.12</v>
      </c>
      <c r="H335" t="s">
        <v>256</v>
      </c>
    </row>
    <row r="336" spans="5:8" x14ac:dyDescent="0.2">
      <c r="G336" t="str">
        <f>"01419.13"</f>
        <v>01419.13</v>
      </c>
      <c r="H336" t="s">
        <v>257</v>
      </c>
    </row>
    <row r="337" spans="4:8" x14ac:dyDescent="0.2">
      <c r="F337" t="str">
        <f>"01419.2"</f>
        <v>01419.2</v>
      </c>
      <c r="H337" t="s">
        <v>258</v>
      </c>
    </row>
    <row r="338" spans="4:8" x14ac:dyDescent="0.2">
      <c r="G338" t="str">
        <f>"01419.21"</f>
        <v>01419.21</v>
      </c>
      <c r="H338" t="s">
        <v>259</v>
      </c>
    </row>
    <row r="339" spans="4:8" x14ac:dyDescent="0.2">
      <c r="G339" t="str">
        <f>"01419.22"</f>
        <v>01419.22</v>
      </c>
      <c r="H339" t="s">
        <v>260</v>
      </c>
    </row>
    <row r="340" spans="4:8" x14ac:dyDescent="0.2">
      <c r="G340" t="str">
        <f>"01419.23"</f>
        <v>01419.23</v>
      </c>
      <c r="H340" t="s">
        <v>261</v>
      </c>
    </row>
    <row r="341" spans="4:8" x14ac:dyDescent="0.2">
      <c r="G341" t="str">
        <f>"01419.24"</f>
        <v>01419.24</v>
      </c>
      <c r="H341" t="s">
        <v>262</v>
      </c>
    </row>
    <row r="342" spans="4:8" x14ac:dyDescent="0.2">
      <c r="D342" t="str">
        <f>"0142"</f>
        <v>0142</v>
      </c>
      <c r="H342" t="s">
        <v>263</v>
      </c>
    </row>
    <row r="343" spans="4:8" x14ac:dyDescent="0.2">
      <c r="E343" t="str">
        <f>"01420"</f>
        <v>01420</v>
      </c>
      <c r="H343" t="s">
        <v>263</v>
      </c>
    </row>
    <row r="344" spans="4:8" x14ac:dyDescent="0.2">
      <c r="F344" t="str">
        <f>"01420.1"</f>
        <v>01420.1</v>
      </c>
      <c r="H344" t="s">
        <v>264</v>
      </c>
    </row>
    <row r="345" spans="4:8" x14ac:dyDescent="0.2">
      <c r="G345" t="str">
        <f>"01420.10"</f>
        <v>01420.10</v>
      </c>
      <c r="H345" t="s">
        <v>264</v>
      </c>
    </row>
    <row r="346" spans="4:8" x14ac:dyDescent="0.2">
      <c r="F346" t="str">
        <f>"01420.2"</f>
        <v>01420.2</v>
      </c>
      <c r="H346" t="s">
        <v>265</v>
      </c>
    </row>
    <row r="347" spans="4:8" x14ac:dyDescent="0.2">
      <c r="G347" t="str">
        <f>"01420.21"</f>
        <v>01420.21</v>
      </c>
      <c r="H347" t="s">
        <v>266</v>
      </c>
    </row>
    <row r="348" spans="4:8" x14ac:dyDescent="0.2">
      <c r="G348" t="str">
        <f>"01420.22"</f>
        <v>01420.22</v>
      </c>
      <c r="H348" t="s">
        <v>267</v>
      </c>
    </row>
    <row r="349" spans="4:8" x14ac:dyDescent="0.2">
      <c r="G349" t="str">
        <f>"01420.23"</f>
        <v>01420.23</v>
      </c>
      <c r="H349" t="s">
        <v>268</v>
      </c>
    </row>
    <row r="350" spans="4:8" x14ac:dyDescent="0.2">
      <c r="G350" t="str">
        <f>"01420.24"</f>
        <v>01420.24</v>
      </c>
      <c r="H350" t="s">
        <v>269</v>
      </c>
    </row>
    <row r="351" spans="4:8" x14ac:dyDescent="0.2">
      <c r="D351" t="str">
        <f>"0143"</f>
        <v>0143</v>
      </c>
      <c r="H351" t="s">
        <v>270</v>
      </c>
    </row>
    <row r="352" spans="4:8" x14ac:dyDescent="0.2">
      <c r="E352" t="str">
        <f>"01430"</f>
        <v>01430</v>
      </c>
      <c r="H352" t="s">
        <v>270</v>
      </c>
    </row>
    <row r="353" spans="4:8" x14ac:dyDescent="0.2">
      <c r="F353" t="str">
        <f>"01430.1"</f>
        <v>01430.1</v>
      </c>
      <c r="H353" t="s">
        <v>271</v>
      </c>
    </row>
    <row r="354" spans="4:8" x14ac:dyDescent="0.2">
      <c r="G354" t="str">
        <f>"01430.10"</f>
        <v>01430.10</v>
      </c>
      <c r="H354" t="s">
        <v>271</v>
      </c>
    </row>
    <row r="355" spans="4:8" x14ac:dyDescent="0.2">
      <c r="F355" t="str">
        <f>"01430.2"</f>
        <v>01430.2</v>
      </c>
      <c r="H355" t="s">
        <v>272</v>
      </c>
    </row>
    <row r="356" spans="4:8" x14ac:dyDescent="0.2">
      <c r="G356" t="str">
        <f>"01430.21"</f>
        <v>01430.21</v>
      </c>
      <c r="H356" t="s">
        <v>273</v>
      </c>
    </row>
    <row r="357" spans="4:8" x14ac:dyDescent="0.2">
      <c r="G357" t="str">
        <f>"01430.22"</f>
        <v>01430.22</v>
      </c>
      <c r="H357" t="s">
        <v>274</v>
      </c>
    </row>
    <row r="358" spans="4:8" x14ac:dyDescent="0.2">
      <c r="G358" t="str">
        <f>"01430.23"</f>
        <v>01430.23</v>
      </c>
      <c r="H358" t="s">
        <v>275</v>
      </c>
    </row>
    <row r="359" spans="4:8" x14ac:dyDescent="0.2">
      <c r="G359" t="str">
        <f>"01430.24"</f>
        <v>01430.24</v>
      </c>
      <c r="H359" t="s">
        <v>276</v>
      </c>
    </row>
    <row r="360" spans="4:8" x14ac:dyDescent="0.2">
      <c r="D360" t="str">
        <f>"0144"</f>
        <v>0144</v>
      </c>
      <c r="H360" t="s">
        <v>277</v>
      </c>
    </row>
    <row r="361" spans="4:8" x14ac:dyDescent="0.2">
      <c r="E361" t="str">
        <f>"01441"</f>
        <v>01441</v>
      </c>
      <c r="H361" t="s">
        <v>278</v>
      </c>
    </row>
    <row r="362" spans="4:8" x14ac:dyDescent="0.2">
      <c r="F362" t="str">
        <f>"01441.1"</f>
        <v>01441.1</v>
      </c>
      <c r="H362" t="s">
        <v>279</v>
      </c>
    </row>
    <row r="363" spans="4:8" x14ac:dyDescent="0.2">
      <c r="G363" t="str">
        <f>"01441.10"</f>
        <v>01441.10</v>
      </c>
      <c r="H363" t="s">
        <v>279</v>
      </c>
    </row>
    <row r="364" spans="4:8" x14ac:dyDescent="0.2">
      <c r="F364" t="str">
        <f>"01441.2"</f>
        <v>01441.2</v>
      </c>
      <c r="H364" t="s">
        <v>280</v>
      </c>
    </row>
    <row r="365" spans="4:8" x14ac:dyDescent="0.2">
      <c r="G365" t="str">
        <f>"01441.21"</f>
        <v>01441.21</v>
      </c>
      <c r="H365" t="s">
        <v>281</v>
      </c>
    </row>
    <row r="366" spans="4:8" x14ac:dyDescent="0.2">
      <c r="G366" t="str">
        <f>"01441.22"</f>
        <v>01441.22</v>
      </c>
      <c r="H366" t="s">
        <v>282</v>
      </c>
    </row>
    <row r="367" spans="4:8" x14ac:dyDescent="0.2">
      <c r="G367" t="str">
        <f>"01441.23"</f>
        <v>01441.23</v>
      </c>
      <c r="H367" t="s">
        <v>283</v>
      </c>
    </row>
    <row r="368" spans="4:8" x14ac:dyDescent="0.2">
      <c r="G368" t="str">
        <f>"01441.24"</f>
        <v>01441.24</v>
      </c>
      <c r="H368" t="s">
        <v>284</v>
      </c>
    </row>
    <row r="369" spans="4:8" x14ac:dyDescent="0.2">
      <c r="G369" t="str">
        <f>"01441.25"</f>
        <v>01441.25</v>
      </c>
      <c r="H369" t="s">
        <v>285</v>
      </c>
    </row>
    <row r="370" spans="4:8" x14ac:dyDescent="0.2">
      <c r="E370" t="str">
        <f>"01442"</f>
        <v>01442</v>
      </c>
      <c r="H370" t="s">
        <v>286</v>
      </c>
    </row>
    <row r="371" spans="4:8" x14ac:dyDescent="0.2">
      <c r="F371" t="str">
        <f>"01442.1"</f>
        <v>01442.1</v>
      </c>
      <c r="H371" t="s">
        <v>287</v>
      </c>
    </row>
    <row r="372" spans="4:8" x14ac:dyDescent="0.2">
      <c r="G372" t="str">
        <f>"01442.10"</f>
        <v>01442.10</v>
      </c>
      <c r="H372" t="s">
        <v>287</v>
      </c>
    </row>
    <row r="373" spans="4:8" x14ac:dyDescent="0.2">
      <c r="F373" t="str">
        <f>"01442.2"</f>
        <v>01442.2</v>
      </c>
      <c r="H373" t="s">
        <v>288</v>
      </c>
    </row>
    <row r="374" spans="4:8" x14ac:dyDescent="0.2">
      <c r="G374" t="str">
        <f>"01442.21"</f>
        <v>01442.21</v>
      </c>
      <c r="H374" t="s">
        <v>289</v>
      </c>
    </row>
    <row r="375" spans="4:8" x14ac:dyDescent="0.2">
      <c r="G375" t="str">
        <f>"01442.22"</f>
        <v>01442.22</v>
      </c>
      <c r="H375" t="s">
        <v>290</v>
      </c>
    </row>
    <row r="376" spans="4:8" x14ac:dyDescent="0.2">
      <c r="G376" t="str">
        <f>"01442.23"</f>
        <v>01442.23</v>
      </c>
      <c r="H376" t="s">
        <v>291</v>
      </c>
    </row>
    <row r="377" spans="4:8" x14ac:dyDescent="0.2">
      <c r="G377" t="str">
        <f>"01442.24"</f>
        <v>01442.24</v>
      </c>
      <c r="H377" t="s">
        <v>292</v>
      </c>
    </row>
    <row r="378" spans="4:8" x14ac:dyDescent="0.2">
      <c r="D378" t="str">
        <f>"0145"</f>
        <v>0145</v>
      </c>
      <c r="H378" t="s">
        <v>293</v>
      </c>
    </row>
    <row r="379" spans="4:8" x14ac:dyDescent="0.2">
      <c r="E379" t="str">
        <f>"01450"</f>
        <v>01450</v>
      </c>
      <c r="H379" t="s">
        <v>293</v>
      </c>
    </row>
    <row r="380" spans="4:8" x14ac:dyDescent="0.2">
      <c r="F380" t="str">
        <f>"01450.1"</f>
        <v>01450.1</v>
      </c>
      <c r="H380" t="s">
        <v>294</v>
      </c>
    </row>
    <row r="381" spans="4:8" x14ac:dyDescent="0.2">
      <c r="G381" t="str">
        <f>"01450.10"</f>
        <v>01450.10</v>
      </c>
      <c r="H381" t="s">
        <v>294</v>
      </c>
    </row>
    <row r="382" spans="4:8" x14ac:dyDescent="0.2">
      <c r="F382" t="str">
        <f>"01450.2"</f>
        <v>01450.2</v>
      </c>
      <c r="H382" t="s">
        <v>295</v>
      </c>
    </row>
    <row r="383" spans="4:8" x14ac:dyDescent="0.2">
      <c r="G383" t="str">
        <f>"01450.21"</f>
        <v>01450.21</v>
      </c>
      <c r="H383" t="s">
        <v>296</v>
      </c>
    </row>
    <row r="384" spans="4:8" x14ac:dyDescent="0.2">
      <c r="G384" t="str">
        <f>"01450.22"</f>
        <v>01450.22</v>
      </c>
      <c r="H384" t="s">
        <v>297</v>
      </c>
    </row>
    <row r="385" spans="4:8" x14ac:dyDescent="0.2">
      <c r="D385" t="str">
        <f>"0146"</f>
        <v>0146</v>
      </c>
      <c r="H385" t="s">
        <v>298</v>
      </c>
    </row>
    <row r="386" spans="4:8" x14ac:dyDescent="0.2">
      <c r="E386" t="str">
        <f>"01461"</f>
        <v>01461</v>
      </c>
      <c r="H386" t="s">
        <v>299</v>
      </c>
    </row>
    <row r="387" spans="4:8" x14ac:dyDescent="0.2">
      <c r="F387" t="str">
        <f>"01461.1"</f>
        <v>01461.1</v>
      </c>
      <c r="H387" t="s">
        <v>300</v>
      </c>
    </row>
    <row r="388" spans="4:8" x14ac:dyDescent="0.2">
      <c r="G388" t="str">
        <f>"01461.10"</f>
        <v>01461.10</v>
      </c>
      <c r="H388" t="s">
        <v>300</v>
      </c>
    </row>
    <row r="389" spans="4:8" x14ac:dyDescent="0.2">
      <c r="F389" t="str">
        <f>"01461.2"</f>
        <v>01461.2</v>
      </c>
      <c r="H389" t="s">
        <v>301</v>
      </c>
    </row>
    <row r="390" spans="4:8" x14ac:dyDescent="0.2">
      <c r="G390" t="str">
        <f>"01461.21"</f>
        <v>01461.21</v>
      </c>
      <c r="H390" t="s">
        <v>302</v>
      </c>
    </row>
    <row r="391" spans="4:8" x14ac:dyDescent="0.2">
      <c r="G391" t="str">
        <f>"01461.22"</f>
        <v>01461.22</v>
      </c>
      <c r="H391" t="s">
        <v>303</v>
      </c>
    </row>
    <row r="392" spans="4:8" x14ac:dyDescent="0.2">
      <c r="E392" t="str">
        <f>"01462"</f>
        <v>01462</v>
      </c>
      <c r="H392" t="s">
        <v>304</v>
      </c>
    </row>
    <row r="393" spans="4:8" x14ac:dyDescent="0.2">
      <c r="F393" t="str">
        <f>"01462.1"</f>
        <v>01462.1</v>
      </c>
      <c r="H393" t="s">
        <v>305</v>
      </c>
    </row>
    <row r="394" spans="4:8" x14ac:dyDescent="0.2">
      <c r="G394" t="str">
        <f>"01462.10"</f>
        <v>01462.10</v>
      </c>
      <c r="H394" t="s">
        <v>305</v>
      </c>
    </row>
    <row r="395" spans="4:8" x14ac:dyDescent="0.2">
      <c r="F395" t="str">
        <f>"01462.2"</f>
        <v>01462.2</v>
      </c>
      <c r="H395" t="s">
        <v>306</v>
      </c>
    </row>
    <row r="396" spans="4:8" x14ac:dyDescent="0.2">
      <c r="G396" t="str">
        <f>"01462.20"</f>
        <v>01462.20</v>
      </c>
      <c r="H396" t="s">
        <v>306</v>
      </c>
    </row>
    <row r="397" spans="4:8" x14ac:dyDescent="0.2">
      <c r="E397" t="str">
        <f>"01463"</f>
        <v>01463</v>
      </c>
      <c r="H397" t="s">
        <v>307</v>
      </c>
    </row>
    <row r="398" spans="4:8" x14ac:dyDescent="0.2">
      <c r="F398" t="str">
        <f>"01463.1"</f>
        <v>01463.1</v>
      </c>
      <c r="H398" t="s">
        <v>308</v>
      </c>
    </row>
    <row r="399" spans="4:8" x14ac:dyDescent="0.2">
      <c r="G399" t="str">
        <f>"01463.10"</f>
        <v>01463.10</v>
      </c>
      <c r="H399" t="s">
        <v>308</v>
      </c>
    </row>
    <row r="400" spans="4:8" x14ac:dyDescent="0.2">
      <c r="F400" t="str">
        <f>"01463.2"</f>
        <v>01463.2</v>
      </c>
      <c r="H400" t="s">
        <v>309</v>
      </c>
    </row>
    <row r="401" spans="4:8" x14ac:dyDescent="0.2">
      <c r="G401" t="str">
        <f>"01463.21"</f>
        <v>01463.21</v>
      </c>
      <c r="H401" t="s">
        <v>310</v>
      </c>
    </row>
    <row r="402" spans="4:8" x14ac:dyDescent="0.2">
      <c r="G402" t="str">
        <f>"01463.22"</f>
        <v>01463.22</v>
      </c>
      <c r="H402" t="s">
        <v>311</v>
      </c>
    </row>
    <row r="403" spans="4:8" x14ac:dyDescent="0.2">
      <c r="E403" t="str">
        <f>"01469"</f>
        <v>01469</v>
      </c>
      <c r="H403" t="s">
        <v>312</v>
      </c>
    </row>
    <row r="404" spans="4:8" x14ac:dyDescent="0.2">
      <c r="F404" t="str">
        <f>"01469.1"</f>
        <v>01469.1</v>
      </c>
      <c r="H404" t="s">
        <v>313</v>
      </c>
    </row>
    <row r="405" spans="4:8" x14ac:dyDescent="0.2">
      <c r="G405" t="str">
        <f>"01469.11"</f>
        <v>01469.11</v>
      </c>
      <c r="H405" t="s">
        <v>314</v>
      </c>
    </row>
    <row r="406" spans="4:8" x14ac:dyDescent="0.2">
      <c r="G406" t="str">
        <f>"01469.12"</f>
        <v>01469.12</v>
      </c>
      <c r="H406" t="s">
        <v>315</v>
      </c>
    </row>
    <row r="407" spans="4:8" x14ac:dyDescent="0.2">
      <c r="G407" t="str">
        <f>"01469.19"</f>
        <v>01469.19</v>
      </c>
      <c r="H407" t="s">
        <v>316</v>
      </c>
    </row>
    <row r="408" spans="4:8" x14ac:dyDescent="0.2">
      <c r="F408" t="str">
        <f>"01469.2"</f>
        <v>01469.2</v>
      </c>
      <c r="H408" t="s">
        <v>317</v>
      </c>
    </row>
    <row r="409" spans="4:8" x14ac:dyDescent="0.2">
      <c r="G409" t="str">
        <f>"01469.21"</f>
        <v>01469.21</v>
      </c>
      <c r="H409" t="s">
        <v>318</v>
      </c>
    </row>
    <row r="410" spans="4:8" x14ac:dyDescent="0.2">
      <c r="G410" t="str">
        <f>"01469.22"</f>
        <v>01469.22</v>
      </c>
      <c r="H410" t="s">
        <v>319</v>
      </c>
    </row>
    <row r="411" spans="4:8" x14ac:dyDescent="0.2">
      <c r="D411" t="str">
        <f>"0149"</f>
        <v>0149</v>
      </c>
      <c r="H411" t="s">
        <v>320</v>
      </c>
    </row>
    <row r="412" spans="4:8" x14ac:dyDescent="0.2">
      <c r="E412" t="str">
        <f>"01491"</f>
        <v>01491</v>
      </c>
      <c r="H412" t="s">
        <v>321</v>
      </c>
    </row>
    <row r="413" spans="4:8" x14ac:dyDescent="0.2">
      <c r="F413" t="str">
        <f>"01491.1"</f>
        <v>01491.1</v>
      </c>
      <c r="H413" t="s">
        <v>322</v>
      </c>
    </row>
    <row r="414" spans="4:8" x14ac:dyDescent="0.2">
      <c r="G414" t="str">
        <f>"01491.10"</f>
        <v>01491.10</v>
      </c>
      <c r="H414" t="s">
        <v>322</v>
      </c>
    </row>
    <row r="415" spans="4:8" x14ac:dyDescent="0.2">
      <c r="F415" t="str">
        <f>"01491.2"</f>
        <v>01491.2</v>
      </c>
      <c r="H415" t="s">
        <v>323</v>
      </c>
    </row>
    <row r="416" spans="4:8" x14ac:dyDescent="0.2">
      <c r="G416" t="str">
        <f>"01491.21"</f>
        <v>01491.21</v>
      </c>
      <c r="H416" t="s">
        <v>324</v>
      </c>
    </row>
    <row r="417" spans="5:8" x14ac:dyDescent="0.2">
      <c r="G417" t="str">
        <f>"01491.22"</f>
        <v>01491.22</v>
      </c>
      <c r="H417" t="s">
        <v>325</v>
      </c>
    </row>
    <row r="418" spans="5:8" x14ac:dyDescent="0.2">
      <c r="G418" t="str">
        <f>"01491.23"</f>
        <v>01491.23</v>
      </c>
      <c r="H418" t="s">
        <v>326</v>
      </c>
    </row>
    <row r="419" spans="5:8" x14ac:dyDescent="0.2">
      <c r="G419" t="str">
        <f>"01491.24"</f>
        <v>01491.24</v>
      </c>
      <c r="H419" t="s">
        <v>327</v>
      </c>
    </row>
    <row r="420" spans="5:8" x14ac:dyDescent="0.2">
      <c r="E420" t="str">
        <f>"01492"</f>
        <v>01492</v>
      </c>
      <c r="H420" t="s">
        <v>328</v>
      </c>
    </row>
    <row r="421" spans="5:8" x14ac:dyDescent="0.2">
      <c r="F421" t="str">
        <f>"01492.1"</f>
        <v>01492.1</v>
      </c>
      <c r="H421" t="s">
        <v>329</v>
      </c>
    </row>
    <row r="422" spans="5:8" x14ac:dyDescent="0.2">
      <c r="G422" t="str">
        <f>"01492.10"</f>
        <v>01492.10</v>
      </c>
      <c r="H422" t="s">
        <v>329</v>
      </c>
    </row>
    <row r="423" spans="5:8" x14ac:dyDescent="0.2">
      <c r="F423" t="str">
        <f>"01492.2"</f>
        <v>01492.2</v>
      </c>
      <c r="H423" t="s">
        <v>330</v>
      </c>
    </row>
    <row r="424" spans="5:8" x14ac:dyDescent="0.2">
      <c r="G424" t="str">
        <f>"01492.21"</f>
        <v>01492.21</v>
      </c>
      <c r="H424" t="s">
        <v>331</v>
      </c>
    </row>
    <row r="425" spans="5:8" x14ac:dyDescent="0.2">
      <c r="G425" t="str">
        <f>"01492.22"</f>
        <v>01492.22</v>
      </c>
      <c r="H425" t="s">
        <v>332</v>
      </c>
    </row>
    <row r="426" spans="5:8" x14ac:dyDescent="0.2">
      <c r="G426" t="str">
        <f>"01492.23"</f>
        <v>01492.23</v>
      </c>
      <c r="H426" t="s">
        <v>333</v>
      </c>
    </row>
    <row r="427" spans="5:8" x14ac:dyDescent="0.2">
      <c r="G427" t="str">
        <f>"01492.24"</f>
        <v>01492.24</v>
      </c>
      <c r="H427" t="s">
        <v>334</v>
      </c>
    </row>
    <row r="428" spans="5:8" x14ac:dyDescent="0.2">
      <c r="E428" t="str">
        <f>"01493"</f>
        <v>01493</v>
      </c>
      <c r="H428" t="s">
        <v>335</v>
      </c>
    </row>
    <row r="429" spans="5:8" x14ac:dyDescent="0.2">
      <c r="F429" t="str">
        <f>"01493.1"</f>
        <v>01493.1</v>
      </c>
      <c r="H429" t="s">
        <v>336</v>
      </c>
    </row>
    <row r="430" spans="5:8" x14ac:dyDescent="0.2">
      <c r="G430" t="str">
        <f>"01493.10"</f>
        <v>01493.10</v>
      </c>
      <c r="H430" t="s">
        <v>336</v>
      </c>
    </row>
    <row r="431" spans="5:8" x14ac:dyDescent="0.2">
      <c r="F431" t="str">
        <f>"01493.2"</f>
        <v>01493.2</v>
      </c>
      <c r="H431" t="s">
        <v>337</v>
      </c>
    </row>
    <row r="432" spans="5:8" x14ac:dyDescent="0.2">
      <c r="G432" t="str">
        <f>"01493.21"</f>
        <v>01493.21</v>
      </c>
      <c r="H432" t="s">
        <v>338</v>
      </c>
    </row>
    <row r="433" spans="5:8" x14ac:dyDescent="0.2">
      <c r="G433" t="str">
        <f>"01493.22"</f>
        <v>01493.22</v>
      </c>
      <c r="H433" t="s">
        <v>339</v>
      </c>
    </row>
    <row r="434" spans="5:8" x14ac:dyDescent="0.2">
      <c r="E434" t="str">
        <f>"01494"</f>
        <v>01494</v>
      </c>
      <c r="H434" t="s">
        <v>340</v>
      </c>
    </row>
    <row r="435" spans="5:8" x14ac:dyDescent="0.2">
      <c r="F435" t="str">
        <f>"01494.1"</f>
        <v>01494.1</v>
      </c>
      <c r="H435" t="s">
        <v>341</v>
      </c>
    </row>
    <row r="436" spans="5:8" x14ac:dyDescent="0.2">
      <c r="G436" t="str">
        <f>"01494.10"</f>
        <v>01494.10</v>
      </c>
      <c r="H436" t="s">
        <v>341</v>
      </c>
    </row>
    <row r="437" spans="5:8" x14ac:dyDescent="0.2">
      <c r="F437" t="str">
        <f>"01494.2"</f>
        <v>01494.2</v>
      </c>
      <c r="H437" t="s">
        <v>342</v>
      </c>
    </row>
    <row r="438" spans="5:8" x14ac:dyDescent="0.2">
      <c r="G438" t="str">
        <f>"01494.21"</f>
        <v>01494.21</v>
      </c>
      <c r="H438" t="s">
        <v>343</v>
      </c>
    </row>
    <row r="439" spans="5:8" x14ac:dyDescent="0.2">
      <c r="G439" t="str">
        <f>"01494.22"</f>
        <v>01494.22</v>
      </c>
      <c r="H439" t="s">
        <v>344</v>
      </c>
    </row>
    <row r="440" spans="5:8" x14ac:dyDescent="0.2">
      <c r="E440" t="str">
        <f>"01495"</f>
        <v>01495</v>
      </c>
      <c r="H440" t="s">
        <v>345</v>
      </c>
    </row>
    <row r="441" spans="5:8" x14ac:dyDescent="0.2">
      <c r="F441" t="str">
        <f>"01495.0"</f>
        <v>01495.0</v>
      </c>
      <c r="H441" t="s">
        <v>346</v>
      </c>
    </row>
    <row r="442" spans="5:8" x14ac:dyDescent="0.2">
      <c r="G442" t="str">
        <f>"01495.00"</f>
        <v>01495.00</v>
      </c>
      <c r="H442" t="s">
        <v>346</v>
      </c>
    </row>
    <row r="443" spans="5:8" x14ac:dyDescent="0.2">
      <c r="E443" t="str">
        <f>"01496"</f>
        <v>01496</v>
      </c>
      <c r="H443" t="s">
        <v>347</v>
      </c>
    </row>
    <row r="444" spans="5:8" x14ac:dyDescent="0.2">
      <c r="F444" t="str">
        <f>"01496.1"</f>
        <v>01496.1</v>
      </c>
      <c r="H444" t="s">
        <v>347</v>
      </c>
    </row>
    <row r="445" spans="5:8" x14ac:dyDescent="0.2">
      <c r="G445" t="str">
        <f>"01496.11"</f>
        <v>01496.11</v>
      </c>
      <c r="H445" t="s">
        <v>348</v>
      </c>
    </row>
    <row r="446" spans="5:8" x14ac:dyDescent="0.2">
      <c r="G446" t="str">
        <f>"01496.12"</f>
        <v>01496.12</v>
      </c>
      <c r="H446" t="s">
        <v>349</v>
      </c>
    </row>
    <row r="447" spans="5:8" x14ac:dyDescent="0.2">
      <c r="G447" t="str">
        <f>"01496.19"</f>
        <v>01496.19</v>
      </c>
      <c r="H447" t="s">
        <v>350</v>
      </c>
    </row>
    <row r="448" spans="5:8" x14ac:dyDescent="0.2">
      <c r="F448" t="str">
        <f>"01496.2"</f>
        <v>01496.2</v>
      </c>
      <c r="H448" t="s">
        <v>337</v>
      </c>
    </row>
    <row r="449" spans="3:8" x14ac:dyDescent="0.2">
      <c r="G449" t="str">
        <f>"01496.21"</f>
        <v>01496.21</v>
      </c>
      <c r="H449" t="s">
        <v>351</v>
      </c>
    </row>
    <row r="450" spans="3:8" x14ac:dyDescent="0.2">
      <c r="G450" t="str">
        <f>"01496.22"</f>
        <v>01496.22</v>
      </c>
      <c r="H450" t="s">
        <v>352</v>
      </c>
    </row>
    <row r="451" spans="3:8" x14ac:dyDescent="0.2">
      <c r="E451" t="str">
        <f>"01499"</f>
        <v>01499</v>
      </c>
      <c r="H451" t="s">
        <v>353</v>
      </c>
    </row>
    <row r="452" spans="3:8" x14ac:dyDescent="0.2">
      <c r="F452" t="str">
        <f>"01499.1"</f>
        <v>01499.1</v>
      </c>
      <c r="H452" t="s">
        <v>354</v>
      </c>
    </row>
    <row r="453" spans="3:8" x14ac:dyDescent="0.2">
      <c r="G453" t="str">
        <f>"01499.11"</f>
        <v>01499.11</v>
      </c>
      <c r="H453" t="s">
        <v>355</v>
      </c>
    </row>
    <row r="454" spans="3:8" x14ac:dyDescent="0.2">
      <c r="G454" t="str">
        <f>"01499.12"</f>
        <v>01499.12</v>
      </c>
      <c r="H454" t="s">
        <v>356</v>
      </c>
    </row>
    <row r="455" spans="3:8" x14ac:dyDescent="0.2">
      <c r="G455" t="str">
        <f>"01499.13"</f>
        <v>01499.13</v>
      </c>
      <c r="H455" t="s">
        <v>357</v>
      </c>
    </row>
    <row r="456" spans="3:8" x14ac:dyDescent="0.2">
      <c r="G456" t="str">
        <f>"01499.14"</f>
        <v>01499.14</v>
      </c>
      <c r="H456" t="s">
        <v>358</v>
      </c>
    </row>
    <row r="457" spans="3:8" x14ac:dyDescent="0.2">
      <c r="G457" t="str">
        <f>"01499.15"</f>
        <v>01499.15</v>
      </c>
      <c r="H457" t="s">
        <v>359</v>
      </c>
    </row>
    <row r="458" spans="3:8" x14ac:dyDescent="0.2">
      <c r="G458" t="str">
        <f>"01499.19"</f>
        <v>01499.19</v>
      </c>
      <c r="H458" t="s">
        <v>360</v>
      </c>
    </row>
    <row r="459" spans="3:8" x14ac:dyDescent="0.2">
      <c r="F459" t="str">
        <f>"01499.2"</f>
        <v>01499.2</v>
      </c>
      <c r="H459" t="s">
        <v>361</v>
      </c>
    </row>
    <row r="460" spans="3:8" x14ac:dyDescent="0.2">
      <c r="G460" t="str">
        <f>"01499.21"</f>
        <v>01499.21</v>
      </c>
      <c r="H460" t="s">
        <v>362</v>
      </c>
    </row>
    <row r="461" spans="3:8" x14ac:dyDescent="0.2">
      <c r="G461" t="str">
        <f>"01499.22"</f>
        <v>01499.22</v>
      </c>
      <c r="H461" t="s">
        <v>363</v>
      </c>
    </row>
    <row r="462" spans="3:8" x14ac:dyDescent="0.2">
      <c r="C462" t="str">
        <f>"015"</f>
        <v>015</v>
      </c>
      <c r="H462" t="s">
        <v>364</v>
      </c>
    </row>
    <row r="463" spans="3:8" x14ac:dyDescent="0.2">
      <c r="D463" t="str">
        <f>"0150"</f>
        <v>0150</v>
      </c>
      <c r="H463" t="s">
        <v>364</v>
      </c>
    </row>
    <row r="464" spans="3:8" x14ac:dyDescent="0.2">
      <c r="E464" t="str">
        <f>"01500"</f>
        <v>01500</v>
      </c>
      <c r="H464" t="s">
        <v>364</v>
      </c>
    </row>
    <row r="465" spans="3:8" x14ac:dyDescent="0.2">
      <c r="F465" t="str">
        <f>"01500.0"</f>
        <v>01500.0</v>
      </c>
      <c r="H465" t="s">
        <v>364</v>
      </c>
    </row>
    <row r="466" spans="3:8" x14ac:dyDescent="0.2">
      <c r="G466" t="str">
        <f>"01500.00"</f>
        <v>01500.00</v>
      </c>
      <c r="H466" t="s">
        <v>364</v>
      </c>
    </row>
    <row r="467" spans="3:8" x14ac:dyDescent="0.2">
      <c r="C467" t="str">
        <f>"016"</f>
        <v>016</v>
      </c>
      <c r="H467" t="s">
        <v>365</v>
      </c>
    </row>
    <row r="468" spans="3:8" x14ac:dyDescent="0.2">
      <c r="D468" t="str">
        <f>"0161"</f>
        <v>0161</v>
      </c>
      <c r="H468" t="s">
        <v>366</v>
      </c>
    </row>
    <row r="469" spans="3:8" x14ac:dyDescent="0.2">
      <c r="E469" t="str">
        <f>"01611"</f>
        <v>01611</v>
      </c>
      <c r="H469" t="s">
        <v>367</v>
      </c>
    </row>
    <row r="470" spans="3:8" x14ac:dyDescent="0.2">
      <c r="F470" t="str">
        <f>"01611.0"</f>
        <v>01611.0</v>
      </c>
      <c r="H470" t="s">
        <v>367</v>
      </c>
    </row>
    <row r="471" spans="3:8" x14ac:dyDescent="0.2">
      <c r="G471" t="str">
        <f>"01611.00"</f>
        <v>01611.00</v>
      </c>
      <c r="H471" t="s">
        <v>367</v>
      </c>
    </row>
    <row r="472" spans="3:8" x14ac:dyDescent="0.2">
      <c r="E472" t="str">
        <f>"01612"</f>
        <v>01612</v>
      </c>
      <c r="H472" t="s">
        <v>368</v>
      </c>
    </row>
    <row r="473" spans="3:8" x14ac:dyDescent="0.2">
      <c r="F473" t="str">
        <f>"01612.0"</f>
        <v>01612.0</v>
      </c>
      <c r="H473" t="s">
        <v>368</v>
      </c>
    </row>
    <row r="474" spans="3:8" x14ac:dyDescent="0.2">
      <c r="G474" t="str">
        <f>"01612.00"</f>
        <v>01612.00</v>
      </c>
      <c r="H474" t="s">
        <v>368</v>
      </c>
    </row>
    <row r="475" spans="3:8" x14ac:dyDescent="0.2">
      <c r="E475" t="str">
        <f>"01619"</f>
        <v>01619</v>
      </c>
      <c r="H475" t="s">
        <v>369</v>
      </c>
    </row>
    <row r="476" spans="3:8" x14ac:dyDescent="0.2">
      <c r="F476" t="str">
        <f>"01619.0"</f>
        <v>01619.0</v>
      </c>
      <c r="H476" t="s">
        <v>369</v>
      </c>
    </row>
    <row r="477" spans="3:8" x14ac:dyDescent="0.2">
      <c r="G477" t="str">
        <f>"01619.00"</f>
        <v>01619.00</v>
      </c>
      <c r="H477" t="s">
        <v>369</v>
      </c>
    </row>
    <row r="478" spans="3:8" x14ac:dyDescent="0.2">
      <c r="D478" t="str">
        <f>"0162"</f>
        <v>0162</v>
      </c>
      <c r="H478" t="s">
        <v>370</v>
      </c>
    </row>
    <row r="479" spans="3:8" x14ac:dyDescent="0.2">
      <c r="E479" t="str">
        <f>"01621"</f>
        <v>01621</v>
      </c>
      <c r="H479" t="s">
        <v>371</v>
      </c>
    </row>
    <row r="480" spans="3:8" x14ac:dyDescent="0.2">
      <c r="F480" t="str">
        <f>"01621.0"</f>
        <v>01621.0</v>
      </c>
      <c r="H480" t="s">
        <v>371</v>
      </c>
    </row>
    <row r="481" spans="3:8" x14ac:dyDescent="0.2">
      <c r="G481" t="str">
        <f>"01621.00"</f>
        <v>01621.00</v>
      </c>
      <c r="H481" t="s">
        <v>371</v>
      </c>
    </row>
    <row r="482" spans="3:8" x14ac:dyDescent="0.2">
      <c r="E482" t="str">
        <f>"01629"</f>
        <v>01629</v>
      </c>
      <c r="H482" t="s">
        <v>372</v>
      </c>
    </row>
    <row r="483" spans="3:8" x14ac:dyDescent="0.2">
      <c r="F483" t="str">
        <f>"01629.0"</f>
        <v>01629.0</v>
      </c>
      <c r="H483" t="s">
        <v>372</v>
      </c>
    </row>
    <row r="484" spans="3:8" x14ac:dyDescent="0.2">
      <c r="G484" t="str">
        <f>"01629.00"</f>
        <v>01629.00</v>
      </c>
      <c r="H484" t="s">
        <v>372</v>
      </c>
    </row>
    <row r="485" spans="3:8" x14ac:dyDescent="0.2">
      <c r="D485" t="str">
        <f>"0163"</f>
        <v>0163</v>
      </c>
      <c r="H485" t="s">
        <v>373</v>
      </c>
    </row>
    <row r="486" spans="3:8" x14ac:dyDescent="0.2">
      <c r="E486" t="str">
        <f>"01630"</f>
        <v>01630</v>
      </c>
      <c r="H486" t="s">
        <v>373</v>
      </c>
    </row>
    <row r="487" spans="3:8" x14ac:dyDescent="0.2">
      <c r="F487" t="str">
        <f>"01630.0"</f>
        <v>01630.0</v>
      </c>
      <c r="H487" t="s">
        <v>373</v>
      </c>
    </row>
    <row r="488" spans="3:8" x14ac:dyDescent="0.2">
      <c r="G488" t="str">
        <f>"01630.00"</f>
        <v>01630.00</v>
      </c>
      <c r="H488" t="s">
        <v>373</v>
      </c>
    </row>
    <row r="489" spans="3:8" x14ac:dyDescent="0.2">
      <c r="D489" t="str">
        <f>"0164"</f>
        <v>0164</v>
      </c>
      <c r="H489" t="s">
        <v>374</v>
      </c>
    </row>
    <row r="490" spans="3:8" x14ac:dyDescent="0.2">
      <c r="E490" t="str">
        <f>"01640"</f>
        <v>01640</v>
      </c>
      <c r="H490" t="s">
        <v>374</v>
      </c>
    </row>
    <row r="491" spans="3:8" x14ac:dyDescent="0.2">
      <c r="F491" t="str">
        <f>"01640.0"</f>
        <v>01640.0</v>
      </c>
      <c r="H491" t="s">
        <v>374</v>
      </c>
    </row>
    <row r="492" spans="3:8" x14ac:dyDescent="0.2">
      <c r="G492" t="str">
        <f>"01640.00"</f>
        <v>01640.00</v>
      </c>
      <c r="H492" t="s">
        <v>374</v>
      </c>
    </row>
    <row r="493" spans="3:8" x14ac:dyDescent="0.2">
      <c r="C493" t="str">
        <f>"017"</f>
        <v>017</v>
      </c>
      <c r="H493" t="s">
        <v>375</v>
      </c>
    </row>
    <row r="494" spans="3:8" x14ac:dyDescent="0.2">
      <c r="D494" t="str">
        <f>"0170"</f>
        <v>0170</v>
      </c>
      <c r="H494" t="s">
        <v>375</v>
      </c>
    </row>
    <row r="495" spans="3:8" x14ac:dyDescent="0.2">
      <c r="E495" t="str">
        <f>"01700"</f>
        <v>01700</v>
      </c>
      <c r="H495" t="s">
        <v>375</v>
      </c>
    </row>
    <row r="496" spans="3:8" x14ac:dyDescent="0.2">
      <c r="F496" t="str">
        <f>"01700.0"</f>
        <v>01700.0</v>
      </c>
      <c r="H496" t="s">
        <v>375</v>
      </c>
    </row>
    <row r="497" spans="2:8" x14ac:dyDescent="0.2">
      <c r="G497" t="str">
        <f>"01700.00"</f>
        <v>01700.00</v>
      </c>
      <c r="H497" t="s">
        <v>375</v>
      </c>
    </row>
    <row r="498" spans="2:8" x14ac:dyDescent="0.2">
      <c r="B498" t="str">
        <f>"02"</f>
        <v>02</v>
      </c>
      <c r="H498" t="s">
        <v>376</v>
      </c>
    </row>
    <row r="499" spans="2:8" x14ac:dyDescent="0.2">
      <c r="C499" t="str">
        <f>"021"</f>
        <v>021</v>
      </c>
      <c r="H499" t="s">
        <v>377</v>
      </c>
    </row>
    <row r="500" spans="2:8" x14ac:dyDescent="0.2">
      <c r="D500" t="str">
        <f>"0210"</f>
        <v>0210</v>
      </c>
      <c r="H500" t="s">
        <v>377</v>
      </c>
    </row>
    <row r="501" spans="2:8" x14ac:dyDescent="0.2">
      <c r="E501" t="str">
        <f>"02100"</f>
        <v>02100</v>
      </c>
      <c r="H501" t="s">
        <v>377</v>
      </c>
    </row>
    <row r="502" spans="2:8" x14ac:dyDescent="0.2">
      <c r="F502" t="str">
        <f>"02100.1"</f>
        <v>02100.1</v>
      </c>
      <c r="H502" t="s">
        <v>378</v>
      </c>
    </row>
    <row r="503" spans="2:8" x14ac:dyDescent="0.2">
      <c r="G503" t="str">
        <f>"02100.11"</f>
        <v>02100.11</v>
      </c>
      <c r="H503" t="s">
        <v>379</v>
      </c>
    </row>
    <row r="504" spans="2:8" x14ac:dyDescent="0.2">
      <c r="G504" t="str">
        <f>"02100.12"</f>
        <v>02100.12</v>
      </c>
      <c r="H504" t="s">
        <v>380</v>
      </c>
    </row>
    <row r="505" spans="2:8" x14ac:dyDescent="0.2">
      <c r="F505" t="str">
        <f>"02100.2"</f>
        <v>02100.2</v>
      </c>
      <c r="H505" t="s">
        <v>381</v>
      </c>
    </row>
    <row r="506" spans="2:8" x14ac:dyDescent="0.2">
      <c r="G506" t="str">
        <f>"02100.20"</f>
        <v>02100.20</v>
      </c>
      <c r="H506" t="s">
        <v>381</v>
      </c>
    </row>
    <row r="507" spans="2:8" x14ac:dyDescent="0.2">
      <c r="F507" t="str">
        <f>"02100.3"</f>
        <v>02100.3</v>
      </c>
      <c r="H507" t="s">
        <v>382</v>
      </c>
    </row>
    <row r="508" spans="2:8" x14ac:dyDescent="0.2">
      <c r="G508" t="str">
        <f>"02100.30"</f>
        <v>02100.30</v>
      </c>
      <c r="H508" t="s">
        <v>382</v>
      </c>
    </row>
    <row r="509" spans="2:8" x14ac:dyDescent="0.2">
      <c r="C509" t="str">
        <f>"022"</f>
        <v>022</v>
      </c>
      <c r="H509" t="s">
        <v>383</v>
      </c>
    </row>
    <row r="510" spans="2:8" x14ac:dyDescent="0.2">
      <c r="D510" t="str">
        <f>"0220"</f>
        <v>0220</v>
      </c>
      <c r="H510" t="s">
        <v>383</v>
      </c>
    </row>
    <row r="511" spans="2:8" x14ac:dyDescent="0.2">
      <c r="E511" t="str">
        <f>"02200"</f>
        <v>02200</v>
      </c>
      <c r="H511" t="s">
        <v>383</v>
      </c>
    </row>
    <row r="512" spans="2:8" x14ac:dyDescent="0.2">
      <c r="F512" t="str">
        <f>"02200.0"</f>
        <v>02200.0</v>
      </c>
      <c r="H512" t="s">
        <v>384</v>
      </c>
    </row>
    <row r="513" spans="3:8" x14ac:dyDescent="0.2">
      <c r="G513" t="str">
        <f>"02200.01"</f>
        <v>02200.01</v>
      </c>
      <c r="H513" t="s">
        <v>385</v>
      </c>
    </row>
    <row r="514" spans="3:8" x14ac:dyDescent="0.2">
      <c r="G514" t="str">
        <f>"02200.02"</f>
        <v>02200.02</v>
      </c>
      <c r="H514" t="s">
        <v>386</v>
      </c>
    </row>
    <row r="515" spans="3:8" x14ac:dyDescent="0.2">
      <c r="G515" t="str">
        <f>"02200.03"</f>
        <v>02200.03</v>
      </c>
      <c r="H515" t="s">
        <v>387</v>
      </c>
    </row>
    <row r="516" spans="3:8" x14ac:dyDescent="0.2">
      <c r="G516" t="str">
        <f>"02200.04"</f>
        <v>02200.04</v>
      </c>
      <c r="H516" t="s">
        <v>388</v>
      </c>
    </row>
    <row r="517" spans="3:8" x14ac:dyDescent="0.2">
      <c r="G517" t="str">
        <f>"02200.05"</f>
        <v>02200.05</v>
      </c>
      <c r="H517" t="s">
        <v>389</v>
      </c>
    </row>
    <row r="518" spans="3:8" x14ac:dyDescent="0.2">
      <c r="C518" t="str">
        <f>"023"</f>
        <v>023</v>
      </c>
      <c r="H518" t="s">
        <v>390</v>
      </c>
    </row>
    <row r="519" spans="3:8" x14ac:dyDescent="0.2">
      <c r="D519" t="str">
        <f>"0230"</f>
        <v>0230</v>
      </c>
      <c r="H519" t="s">
        <v>390</v>
      </c>
    </row>
    <row r="520" spans="3:8" x14ac:dyDescent="0.2">
      <c r="E520" t="str">
        <f>"02300"</f>
        <v>02300</v>
      </c>
      <c r="H520" t="s">
        <v>390</v>
      </c>
    </row>
    <row r="521" spans="3:8" x14ac:dyDescent="0.2">
      <c r="F521" t="str">
        <f>"02300.1"</f>
        <v>02300.1</v>
      </c>
      <c r="H521" t="s">
        <v>391</v>
      </c>
    </row>
    <row r="522" spans="3:8" x14ac:dyDescent="0.2">
      <c r="G522" t="str">
        <f>"02300.11"</f>
        <v>02300.11</v>
      </c>
      <c r="H522" t="s">
        <v>392</v>
      </c>
    </row>
    <row r="523" spans="3:8" x14ac:dyDescent="0.2">
      <c r="G523" t="str">
        <f>"02300.19"</f>
        <v>02300.19</v>
      </c>
      <c r="H523" t="s">
        <v>393</v>
      </c>
    </row>
    <row r="524" spans="3:8" x14ac:dyDescent="0.2">
      <c r="F524" t="str">
        <f>"02300.2"</f>
        <v>02300.2</v>
      </c>
      <c r="H524" t="s">
        <v>394</v>
      </c>
    </row>
    <row r="525" spans="3:8" x14ac:dyDescent="0.2">
      <c r="G525" t="str">
        <f>"02300.20"</f>
        <v>02300.20</v>
      </c>
      <c r="H525" t="s">
        <v>394</v>
      </c>
    </row>
    <row r="526" spans="3:8" x14ac:dyDescent="0.2">
      <c r="F526" t="str">
        <f>"02300.3"</f>
        <v>02300.3</v>
      </c>
      <c r="H526" t="s">
        <v>395</v>
      </c>
    </row>
    <row r="527" spans="3:8" x14ac:dyDescent="0.2">
      <c r="G527" t="str">
        <f>"02300.31"</f>
        <v>02300.31</v>
      </c>
      <c r="H527" t="s">
        <v>396</v>
      </c>
    </row>
    <row r="528" spans="3:8" x14ac:dyDescent="0.2">
      <c r="G528" t="str">
        <f>"02300.32"</f>
        <v>02300.32</v>
      </c>
      <c r="H528" t="s">
        <v>397</v>
      </c>
    </row>
    <row r="529" spans="2:8" x14ac:dyDescent="0.2">
      <c r="G529" t="str">
        <f>"02300.39"</f>
        <v>02300.39</v>
      </c>
      <c r="H529" t="s">
        <v>398</v>
      </c>
    </row>
    <row r="530" spans="2:8" x14ac:dyDescent="0.2">
      <c r="F530" t="str">
        <f>"02300.4"</f>
        <v>02300.4</v>
      </c>
      <c r="H530" t="s">
        <v>399</v>
      </c>
    </row>
    <row r="531" spans="2:8" x14ac:dyDescent="0.2">
      <c r="G531" t="str">
        <f>"02300.40"</f>
        <v>02300.40</v>
      </c>
      <c r="H531" t="s">
        <v>399</v>
      </c>
    </row>
    <row r="532" spans="2:8" x14ac:dyDescent="0.2">
      <c r="F532" t="str">
        <f>"02300.5"</f>
        <v>02300.5</v>
      </c>
      <c r="H532" t="s">
        <v>400</v>
      </c>
    </row>
    <row r="533" spans="2:8" x14ac:dyDescent="0.2">
      <c r="G533" t="str">
        <f>"02300.50"</f>
        <v>02300.50</v>
      </c>
      <c r="H533" t="s">
        <v>400</v>
      </c>
    </row>
    <row r="534" spans="2:8" x14ac:dyDescent="0.2">
      <c r="C534" t="str">
        <f>"024"</f>
        <v>024</v>
      </c>
      <c r="H534" t="s">
        <v>401</v>
      </c>
    </row>
    <row r="535" spans="2:8" x14ac:dyDescent="0.2">
      <c r="D535" t="str">
        <f>"0240"</f>
        <v>0240</v>
      </c>
      <c r="H535" t="s">
        <v>401</v>
      </c>
    </row>
    <row r="536" spans="2:8" x14ac:dyDescent="0.2">
      <c r="E536" t="str">
        <f>"02400"</f>
        <v>02400</v>
      </c>
      <c r="H536" t="s">
        <v>401</v>
      </c>
    </row>
    <row r="537" spans="2:8" x14ac:dyDescent="0.2">
      <c r="F537" t="str">
        <f>"02400.0"</f>
        <v>02400.0</v>
      </c>
      <c r="H537" t="s">
        <v>401</v>
      </c>
    </row>
    <row r="538" spans="2:8" x14ac:dyDescent="0.2">
      <c r="G538" t="str">
        <f>"02400.00"</f>
        <v>02400.00</v>
      </c>
      <c r="H538" t="s">
        <v>401</v>
      </c>
    </row>
    <row r="539" spans="2:8" x14ac:dyDescent="0.2">
      <c r="B539" t="str">
        <f>"03"</f>
        <v>03</v>
      </c>
      <c r="H539" t="s">
        <v>402</v>
      </c>
    </row>
    <row r="540" spans="2:8" x14ac:dyDescent="0.2">
      <c r="C540" t="str">
        <f>"031"</f>
        <v>031</v>
      </c>
      <c r="H540" t="s">
        <v>403</v>
      </c>
    </row>
    <row r="541" spans="2:8" x14ac:dyDescent="0.2">
      <c r="D541" t="str">
        <f>"0311"</f>
        <v>0311</v>
      </c>
      <c r="H541" t="s">
        <v>404</v>
      </c>
    </row>
    <row r="542" spans="2:8" x14ac:dyDescent="0.2">
      <c r="E542" t="str">
        <f>"03111"</f>
        <v>03111</v>
      </c>
      <c r="H542" t="s">
        <v>405</v>
      </c>
    </row>
    <row r="543" spans="2:8" x14ac:dyDescent="0.2">
      <c r="F543" t="str">
        <f>"03111.1"</f>
        <v>03111.1</v>
      </c>
      <c r="H543" t="s">
        <v>406</v>
      </c>
    </row>
    <row r="544" spans="2:8" x14ac:dyDescent="0.2">
      <c r="G544" t="str">
        <f>"03111.11"</f>
        <v>03111.11</v>
      </c>
      <c r="H544" t="s">
        <v>407</v>
      </c>
    </row>
    <row r="545" spans="5:8" x14ac:dyDescent="0.2">
      <c r="G545" t="str">
        <f>"03111.12"</f>
        <v>03111.12</v>
      </c>
      <c r="H545" t="s">
        <v>408</v>
      </c>
    </row>
    <row r="546" spans="5:8" x14ac:dyDescent="0.2">
      <c r="F546" t="str">
        <f>"03111.9"</f>
        <v>03111.9</v>
      </c>
      <c r="H546" t="s">
        <v>409</v>
      </c>
    </row>
    <row r="547" spans="5:8" x14ac:dyDescent="0.2">
      <c r="G547" t="str">
        <f>"03111.90"</f>
        <v>03111.90</v>
      </c>
      <c r="H547" t="s">
        <v>409</v>
      </c>
    </row>
    <row r="548" spans="5:8" x14ac:dyDescent="0.2">
      <c r="E548" t="str">
        <f>"03112"</f>
        <v>03112</v>
      </c>
      <c r="H548" t="s">
        <v>410</v>
      </c>
    </row>
    <row r="549" spans="5:8" x14ac:dyDescent="0.2">
      <c r="F549" t="str">
        <f>"03112.1"</f>
        <v>03112.1</v>
      </c>
      <c r="H549" t="s">
        <v>411</v>
      </c>
    </row>
    <row r="550" spans="5:8" x14ac:dyDescent="0.2">
      <c r="G550" t="str">
        <f>"03112.10"</f>
        <v>03112.10</v>
      </c>
      <c r="H550" t="s">
        <v>411</v>
      </c>
    </row>
    <row r="551" spans="5:8" x14ac:dyDescent="0.2">
      <c r="F551" t="str">
        <f>"03112.9"</f>
        <v>03112.9</v>
      </c>
      <c r="H551" t="s">
        <v>412</v>
      </c>
    </row>
    <row r="552" spans="5:8" x14ac:dyDescent="0.2">
      <c r="G552" t="str">
        <f>"03112.90"</f>
        <v>03112.90</v>
      </c>
      <c r="H552" t="s">
        <v>412</v>
      </c>
    </row>
    <row r="553" spans="5:8" x14ac:dyDescent="0.2">
      <c r="E553" t="str">
        <f>"03113"</f>
        <v>03113</v>
      </c>
      <c r="H553" t="s">
        <v>413</v>
      </c>
    </row>
    <row r="554" spans="5:8" x14ac:dyDescent="0.2">
      <c r="F554" t="str">
        <f>"03113.1"</f>
        <v>03113.1</v>
      </c>
      <c r="H554" t="s">
        <v>414</v>
      </c>
    </row>
    <row r="555" spans="5:8" x14ac:dyDescent="0.2">
      <c r="G555" t="str">
        <f>"03113.10"</f>
        <v>03113.10</v>
      </c>
      <c r="H555" t="s">
        <v>414</v>
      </c>
    </row>
    <row r="556" spans="5:8" x14ac:dyDescent="0.2">
      <c r="F556" t="str">
        <f>"03113.9"</f>
        <v>03113.9</v>
      </c>
      <c r="H556" t="s">
        <v>415</v>
      </c>
    </row>
    <row r="557" spans="5:8" x14ac:dyDescent="0.2">
      <c r="G557" t="str">
        <f>"03113.90"</f>
        <v>03113.90</v>
      </c>
      <c r="H557" t="s">
        <v>415</v>
      </c>
    </row>
    <row r="558" spans="5:8" x14ac:dyDescent="0.2">
      <c r="E558" t="str">
        <f>"03114"</f>
        <v>03114</v>
      </c>
      <c r="H558" t="s">
        <v>416</v>
      </c>
    </row>
    <row r="559" spans="5:8" x14ac:dyDescent="0.2">
      <c r="F559" t="str">
        <f>"03114.1"</f>
        <v>03114.1</v>
      </c>
      <c r="H559" t="s">
        <v>417</v>
      </c>
    </row>
    <row r="560" spans="5:8" x14ac:dyDescent="0.2">
      <c r="G560" t="str">
        <f>"03114.10"</f>
        <v>03114.10</v>
      </c>
      <c r="H560" t="s">
        <v>417</v>
      </c>
    </row>
    <row r="561" spans="5:8" x14ac:dyDescent="0.2">
      <c r="F561" t="str">
        <f>"03114.9"</f>
        <v>03114.9</v>
      </c>
      <c r="H561" t="s">
        <v>418</v>
      </c>
    </row>
    <row r="562" spans="5:8" x14ac:dyDescent="0.2">
      <c r="G562" t="str">
        <f>"03114.90"</f>
        <v>03114.90</v>
      </c>
      <c r="H562" t="s">
        <v>418</v>
      </c>
    </row>
    <row r="563" spans="5:8" x14ac:dyDescent="0.2">
      <c r="E563" t="str">
        <f>"03115"</f>
        <v>03115</v>
      </c>
      <c r="H563" t="s">
        <v>419</v>
      </c>
    </row>
    <row r="564" spans="5:8" x14ac:dyDescent="0.2">
      <c r="F564" t="str">
        <f>"03115.1"</f>
        <v>03115.1</v>
      </c>
      <c r="H564" t="s">
        <v>420</v>
      </c>
    </row>
    <row r="565" spans="5:8" x14ac:dyDescent="0.2">
      <c r="G565" t="str">
        <f>"03115.11"</f>
        <v>03115.11</v>
      </c>
      <c r="H565" t="s">
        <v>421</v>
      </c>
    </row>
    <row r="566" spans="5:8" x14ac:dyDescent="0.2">
      <c r="G566" t="str">
        <f>"03115.12"</f>
        <v>03115.12</v>
      </c>
      <c r="H566" t="s">
        <v>422</v>
      </c>
    </row>
    <row r="567" spans="5:8" x14ac:dyDescent="0.2">
      <c r="F567" t="str">
        <f>"03115.9"</f>
        <v>03115.9</v>
      </c>
      <c r="H567" t="s">
        <v>423</v>
      </c>
    </row>
    <row r="568" spans="5:8" x14ac:dyDescent="0.2">
      <c r="G568" t="str">
        <f>"03115.90"</f>
        <v>03115.90</v>
      </c>
      <c r="H568" t="s">
        <v>423</v>
      </c>
    </row>
    <row r="569" spans="5:8" x14ac:dyDescent="0.2">
      <c r="E569" t="str">
        <f>"03119"</f>
        <v>03119</v>
      </c>
      <c r="H569" t="s">
        <v>404</v>
      </c>
    </row>
    <row r="570" spans="5:8" x14ac:dyDescent="0.2">
      <c r="F570" t="str">
        <f>"03119.1"</f>
        <v>03119.1</v>
      </c>
      <c r="H570" t="s">
        <v>424</v>
      </c>
    </row>
    <row r="571" spans="5:8" x14ac:dyDescent="0.2">
      <c r="G571" t="str">
        <f>"03119.11"</f>
        <v>03119.11</v>
      </c>
      <c r="H571" t="s">
        <v>425</v>
      </c>
    </row>
    <row r="572" spans="5:8" x14ac:dyDescent="0.2">
      <c r="G572" t="str">
        <f>"03119.12"</f>
        <v>03119.12</v>
      </c>
      <c r="H572" t="s">
        <v>426</v>
      </c>
    </row>
    <row r="573" spans="5:8" x14ac:dyDescent="0.2">
      <c r="G573" t="str">
        <f>"03119.13"</f>
        <v>03119.13</v>
      </c>
      <c r="H573" t="s">
        <v>427</v>
      </c>
    </row>
    <row r="574" spans="5:8" x14ac:dyDescent="0.2">
      <c r="G574" t="str">
        <f>"03119.14"</f>
        <v>03119.14</v>
      </c>
      <c r="H574" t="s">
        <v>428</v>
      </c>
    </row>
    <row r="575" spans="5:8" x14ac:dyDescent="0.2">
      <c r="G575" t="str">
        <f>"03119.15"</f>
        <v>03119.15</v>
      </c>
      <c r="H575" t="s">
        <v>429</v>
      </c>
    </row>
    <row r="576" spans="5:8" x14ac:dyDescent="0.2">
      <c r="G576" t="str">
        <f>"03119.19"</f>
        <v>03119.19</v>
      </c>
      <c r="H576" t="s">
        <v>430</v>
      </c>
    </row>
    <row r="577" spans="4:8" x14ac:dyDescent="0.2">
      <c r="F577" t="str">
        <f>"03119.9"</f>
        <v>03119.9</v>
      </c>
      <c r="H577" t="s">
        <v>431</v>
      </c>
    </row>
    <row r="578" spans="4:8" x14ac:dyDescent="0.2">
      <c r="G578" t="str">
        <f>"03119.90"</f>
        <v>03119.90</v>
      </c>
      <c r="H578" t="s">
        <v>431</v>
      </c>
    </row>
    <row r="579" spans="4:8" x14ac:dyDescent="0.2">
      <c r="D579" t="str">
        <f>"0312"</f>
        <v>0312</v>
      </c>
      <c r="H579" t="s">
        <v>432</v>
      </c>
    </row>
    <row r="580" spans="4:8" x14ac:dyDescent="0.2">
      <c r="E580" t="str">
        <f>"03121"</f>
        <v>03121</v>
      </c>
      <c r="H580" t="s">
        <v>433</v>
      </c>
    </row>
    <row r="581" spans="4:8" x14ac:dyDescent="0.2">
      <c r="F581" t="str">
        <f>"03121.1"</f>
        <v>03121.1</v>
      </c>
      <c r="H581" t="s">
        <v>434</v>
      </c>
    </row>
    <row r="582" spans="4:8" x14ac:dyDescent="0.2">
      <c r="G582" t="str">
        <f>"03121.11"</f>
        <v>03121.11</v>
      </c>
      <c r="H582" t="s">
        <v>435</v>
      </c>
    </row>
    <row r="583" spans="4:8" x14ac:dyDescent="0.2">
      <c r="G583" t="str">
        <f>"03121.12"</f>
        <v>03121.12</v>
      </c>
      <c r="H583" t="s">
        <v>436</v>
      </c>
    </row>
    <row r="584" spans="4:8" x14ac:dyDescent="0.2">
      <c r="F584" t="str">
        <f>"03121.9"</f>
        <v>03121.9</v>
      </c>
      <c r="H584" t="s">
        <v>437</v>
      </c>
    </row>
    <row r="585" spans="4:8" x14ac:dyDescent="0.2">
      <c r="G585" t="str">
        <f>"03121.90"</f>
        <v>03121.90</v>
      </c>
      <c r="H585" t="s">
        <v>437</v>
      </c>
    </row>
    <row r="586" spans="4:8" x14ac:dyDescent="0.2">
      <c r="E586" t="str">
        <f>"03122"</f>
        <v>03122</v>
      </c>
      <c r="H586" t="s">
        <v>438</v>
      </c>
    </row>
    <row r="587" spans="4:8" x14ac:dyDescent="0.2">
      <c r="F587" t="str">
        <f>"03122.1"</f>
        <v>03122.1</v>
      </c>
      <c r="H587" t="s">
        <v>439</v>
      </c>
    </row>
    <row r="588" spans="4:8" x14ac:dyDescent="0.2">
      <c r="G588" t="str">
        <f>"03122.10"</f>
        <v>03122.10</v>
      </c>
      <c r="H588" t="s">
        <v>439</v>
      </c>
    </row>
    <row r="589" spans="4:8" x14ac:dyDescent="0.2">
      <c r="F589" t="str">
        <f>"03122.9"</f>
        <v>03122.9</v>
      </c>
      <c r="H589" t="s">
        <v>440</v>
      </c>
    </row>
    <row r="590" spans="4:8" x14ac:dyDescent="0.2">
      <c r="G590" t="str">
        <f>"03122.90"</f>
        <v>03122.90</v>
      </c>
      <c r="H590" t="s">
        <v>440</v>
      </c>
    </row>
    <row r="591" spans="4:8" x14ac:dyDescent="0.2">
      <c r="E591" t="str">
        <f>"03129"</f>
        <v>03129</v>
      </c>
      <c r="H591" t="s">
        <v>432</v>
      </c>
    </row>
    <row r="592" spans="4:8" x14ac:dyDescent="0.2">
      <c r="F592" t="str">
        <f>"03129.1"</f>
        <v>03129.1</v>
      </c>
      <c r="H592" t="s">
        <v>441</v>
      </c>
    </row>
    <row r="593" spans="3:8" x14ac:dyDescent="0.2">
      <c r="G593" t="str">
        <f>"03129.11"</f>
        <v>03129.11</v>
      </c>
      <c r="H593" t="s">
        <v>442</v>
      </c>
    </row>
    <row r="594" spans="3:8" x14ac:dyDescent="0.2">
      <c r="G594" t="str">
        <f>"03129.12"</f>
        <v>03129.12</v>
      </c>
      <c r="H594" t="s">
        <v>443</v>
      </c>
    </row>
    <row r="595" spans="3:8" x14ac:dyDescent="0.2">
      <c r="G595" t="str">
        <f>"03129.13"</f>
        <v>03129.13</v>
      </c>
      <c r="H595" t="s">
        <v>444</v>
      </c>
    </row>
    <row r="596" spans="3:8" x14ac:dyDescent="0.2">
      <c r="G596" t="str">
        <f>"03129.14"</f>
        <v>03129.14</v>
      </c>
      <c r="H596" t="s">
        <v>445</v>
      </c>
    </row>
    <row r="597" spans="3:8" x14ac:dyDescent="0.2">
      <c r="G597" t="str">
        <f>"03129.15"</f>
        <v>03129.15</v>
      </c>
      <c r="H597" t="s">
        <v>446</v>
      </c>
    </row>
    <row r="598" spans="3:8" x14ac:dyDescent="0.2">
      <c r="G598" t="str">
        <f>"03129.16"</f>
        <v>03129.16</v>
      </c>
      <c r="H598" t="s">
        <v>447</v>
      </c>
    </row>
    <row r="599" spans="3:8" x14ac:dyDescent="0.2">
      <c r="F599" t="str">
        <f>"03129.9"</f>
        <v>03129.9</v>
      </c>
      <c r="H599" t="s">
        <v>448</v>
      </c>
    </row>
    <row r="600" spans="3:8" x14ac:dyDescent="0.2">
      <c r="G600" t="str">
        <f>"03129.90"</f>
        <v>03129.90</v>
      </c>
      <c r="H600" t="s">
        <v>448</v>
      </c>
    </row>
    <row r="601" spans="3:8" x14ac:dyDescent="0.2">
      <c r="C601" t="str">
        <f>"032"</f>
        <v>032</v>
      </c>
      <c r="H601" t="s">
        <v>449</v>
      </c>
    </row>
    <row r="602" spans="3:8" x14ac:dyDescent="0.2">
      <c r="D602" t="str">
        <f>"0321"</f>
        <v>0321</v>
      </c>
      <c r="H602" t="s">
        <v>450</v>
      </c>
    </row>
    <row r="603" spans="3:8" x14ac:dyDescent="0.2">
      <c r="E603" t="str">
        <f>"03211"</f>
        <v>03211</v>
      </c>
      <c r="H603" t="s">
        <v>451</v>
      </c>
    </row>
    <row r="604" spans="3:8" x14ac:dyDescent="0.2">
      <c r="F604" t="str">
        <f>"03211.1"</f>
        <v>03211.1</v>
      </c>
      <c r="H604" t="s">
        <v>452</v>
      </c>
    </row>
    <row r="605" spans="3:8" x14ac:dyDescent="0.2">
      <c r="G605" t="str">
        <f>"03211.11"</f>
        <v>03211.11</v>
      </c>
      <c r="H605" t="s">
        <v>453</v>
      </c>
    </row>
    <row r="606" spans="3:8" x14ac:dyDescent="0.2">
      <c r="G606" t="str">
        <f>"03211.12"</f>
        <v>03211.12</v>
      </c>
      <c r="H606" t="s">
        <v>454</v>
      </c>
    </row>
    <row r="607" spans="3:8" x14ac:dyDescent="0.2">
      <c r="F607" t="str">
        <f>"03211.9"</f>
        <v>03211.9</v>
      </c>
      <c r="H607" t="s">
        <v>455</v>
      </c>
    </row>
    <row r="608" spans="3:8" x14ac:dyDescent="0.2">
      <c r="G608" t="str">
        <f>"03211.90"</f>
        <v>03211.90</v>
      </c>
      <c r="H608" t="s">
        <v>455</v>
      </c>
    </row>
    <row r="609" spans="5:8" x14ac:dyDescent="0.2">
      <c r="E609" t="str">
        <f>"03212"</f>
        <v>03212</v>
      </c>
      <c r="H609" t="s">
        <v>456</v>
      </c>
    </row>
    <row r="610" spans="5:8" x14ac:dyDescent="0.2">
      <c r="F610" t="str">
        <f>"03212.1"</f>
        <v>03212.1</v>
      </c>
      <c r="H610" t="s">
        <v>457</v>
      </c>
    </row>
    <row r="611" spans="5:8" x14ac:dyDescent="0.2">
      <c r="G611" t="str">
        <f>"03212.10"</f>
        <v>03212.10</v>
      </c>
      <c r="H611" t="s">
        <v>457</v>
      </c>
    </row>
    <row r="612" spans="5:8" x14ac:dyDescent="0.2">
      <c r="F612" t="str">
        <f>"03212.9"</f>
        <v>03212.9</v>
      </c>
      <c r="H612" t="s">
        <v>458</v>
      </c>
    </row>
    <row r="613" spans="5:8" x14ac:dyDescent="0.2">
      <c r="G613" t="str">
        <f>"03212.90"</f>
        <v>03212.90</v>
      </c>
      <c r="H613" t="s">
        <v>458</v>
      </c>
    </row>
    <row r="614" spans="5:8" x14ac:dyDescent="0.2">
      <c r="E614" t="str">
        <f>"03213"</f>
        <v>03213</v>
      </c>
      <c r="H614" t="s">
        <v>459</v>
      </c>
    </row>
    <row r="615" spans="5:8" x14ac:dyDescent="0.2">
      <c r="F615" t="str">
        <f>"03213.1"</f>
        <v>03213.1</v>
      </c>
      <c r="H615" t="s">
        <v>460</v>
      </c>
    </row>
    <row r="616" spans="5:8" x14ac:dyDescent="0.2">
      <c r="G616" t="str">
        <f>"03213.11"</f>
        <v>03213.11</v>
      </c>
      <c r="H616" t="s">
        <v>461</v>
      </c>
    </row>
    <row r="617" spans="5:8" x14ac:dyDescent="0.2">
      <c r="G617" t="str">
        <f>"03213.12"</f>
        <v>03213.12</v>
      </c>
      <c r="H617" t="s">
        <v>462</v>
      </c>
    </row>
    <row r="618" spans="5:8" x14ac:dyDescent="0.2">
      <c r="F618" t="str">
        <f>"03213.9"</f>
        <v>03213.9</v>
      </c>
      <c r="H618" t="s">
        <v>463</v>
      </c>
    </row>
    <row r="619" spans="5:8" x14ac:dyDescent="0.2">
      <c r="G619" t="str">
        <f>"03213.90"</f>
        <v>03213.90</v>
      </c>
      <c r="H619" t="s">
        <v>463</v>
      </c>
    </row>
    <row r="620" spans="5:8" x14ac:dyDescent="0.2">
      <c r="E620" t="str">
        <f>"03214"</f>
        <v>03214</v>
      </c>
      <c r="H620" t="s">
        <v>464</v>
      </c>
    </row>
    <row r="621" spans="5:8" x14ac:dyDescent="0.2">
      <c r="F621" t="str">
        <f>"03214.1"</f>
        <v>03214.1</v>
      </c>
      <c r="H621" t="s">
        <v>465</v>
      </c>
    </row>
    <row r="622" spans="5:8" x14ac:dyDescent="0.2">
      <c r="G622" t="str">
        <f>"03214.11"</f>
        <v>03214.11</v>
      </c>
      <c r="H622" t="s">
        <v>466</v>
      </c>
    </row>
    <row r="623" spans="5:8" x14ac:dyDescent="0.2">
      <c r="G623" t="str">
        <f>"03214.19"</f>
        <v>03214.19</v>
      </c>
      <c r="H623" t="s">
        <v>467</v>
      </c>
    </row>
    <row r="624" spans="5:8" x14ac:dyDescent="0.2">
      <c r="F624" t="str">
        <f>"03214.9"</f>
        <v>03214.9</v>
      </c>
      <c r="H624" t="s">
        <v>468</v>
      </c>
    </row>
    <row r="625" spans="4:8" x14ac:dyDescent="0.2">
      <c r="G625" t="str">
        <f>"03214.90"</f>
        <v>03214.90</v>
      </c>
      <c r="H625" t="s">
        <v>468</v>
      </c>
    </row>
    <row r="626" spans="4:8" x14ac:dyDescent="0.2">
      <c r="E626" t="str">
        <f>"03219"</f>
        <v>03219</v>
      </c>
      <c r="H626" t="s">
        <v>450</v>
      </c>
    </row>
    <row r="627" spans="4:8" x14ac:dyDescent="0.2">
      <c r="F627" t="str">
        <f>"03219.1"</f>
        <v>03219.1</v>
      </c>
      <c r="H627" t="s">
        <v>469</v>
      </c>
    </row>
    <row r="628" spans="4:8" x14ac:dyDescent="0.2">
      <c r="G628" t="str">
        <f>"03219.11"</f>
        <v>03219.11</v>
      </c>
      <c r="H628" t="s">
        <v>470</v>
      </c>
    </row>
    <row r="629" spans="4:8" x14ac:dyDescent="0.2">
      <c r="G629" t="str">
        <f>"03219.12"</f>
        <v>03219.12</v>
      </c>
      <c r="H629" t="s">
        <v>471</v>
      </c>
    </row>
    <row r="630" spans="4:8" x14ac:dyDescent="0.2">
      <c r="G630" t="str">
        <f>"03219.13"</f>
        <v>03219.13</v>
      </c>
      <c r="H630" t="s">
        <v>472</v>
      </c>
    </row>
    <row r="631" spans="4:8" x14ac:dyDescent="0.2">
      <c r="G631" t="str">
        <f>"03219.14"</f>
        <v>03219.14</v>
      </c>
      <c r="H631" t="s">
        <v>473</v>
      </c>
    </row>
    <row r="632" spans="4:8" x14ac:dyDescent="0.2">
      <c r="G632" t="str">
        <f>"03219.15"</f>
        <v>03219.15</v>
      </c>
      <c r="H632" t="s">
        <v>474</v>
      </c>
    </row>
    <row r="633" spans="4:8" x14ac:dyDescent="0.2">
      <c r="G633" t="str">
        <f>"03219.19"</f>
        <v>03219.19</v>
      </c>
      <c r="H633" t="s">
        <v>475</v>
      </c>
    </row>
    <row r="634" spans="4:8" x14ac:dyDescent="0.2">
      <c r="F634" t="str">
        <f>"03219.9"</f>
        <v>03219.9</v>
      </c>
      <c r="H634" t="s">
        <v>476</v>
      </c>
    </row>
    <row r="635" spans="4:8" x14ac:dyDescent="0.2">
      <c r="G635" t="str">
        <f>"03219.90"</f>
        <v>03219.90</v>
      </c>
      <c r="H635" t="s">
        <v>476</v>
      </c>
    </row>
    <row r="636" spans="4:8" x14ac:dyDescent="0.2">
      <c r="D636" t="str">
        <f>"0322"</f>
        <v>0322</v>
      </c>
      <c r="H636" t="s">
        <v>477</v>
      </c>
    </row>
    <row r="637" spans="4:8" x14ac:dyDescent="0.2">
      <c r="E637" t="str">
        <f>"03221"</f>
        <v>03221</v>
      </c>
      <c r="H637" t="s">
        <v>478</v>
      </c>
    </row>
    <row r="638" spans="4:8" x14ac:dyDescent="0.2">
      <c r="F638" t="str">
        <f>"03221.1"</f>
        <v>03221.1</v>
      </c>
      <c r="H638" t="s">
        <v>479</v>
      </c>
    </row>
    <row r="639" spans="4:8" x14ac:dyDescent="0.2">
      <c r="G639" t="str">
        <f>"03221.11"</f>
        <v>03221.11</v>
      </c>
      <c r="H639" t="s">
        <v>480</v>
      </c>
    </row>
    <row r="640" spans="4:8" x14ac:dyDescent="0.2">
      <c r="G640" t="str">
        <f>"03221.12"</f>
        <v>03221.12</v>
      </c>
      <c r="H640" t="s">
        <v>481</v>
      </c>
    </row>
    <row r="641" spans="5:8" x14ac:dyDescent="0.2">
      <c r="F641" t="str">
        <f>"03221.9"</f>
        <v>03221.9</v>
      </c>
      <c r="H641" t="s">
        <v>482</v>
      </c>
    </row>
    <row r="642" spans="5:8" x14ac:dyDescent="0.2">
      <c r="G642" t="str">
        <f>"03221.90"</f>
        <v>03221.90</v>
      </c>
      <c r="H642" t="s">
        <v>482</v>
      </c>
    </row>
    <row r="643" spans="5:8" x14ac:dyDescent="0.2">
      <c r="E643" t="str">
        <f>"03222"</f>
        <v>03222</v>
      </c>
      <c r="H643" t="s">
        <v>483</v>
      </c>
    </row>
    <row r="644" spans="5:8" x14ac:dyDescent="0.2">
      <c r="F644" t="str">
        <f>"03222.1"</f>
        <v>03222.1</v>
      </c>
      <c r="H644" t="s">
        <v>484</v>
      </c>
    </row>
    <row r="645" spans="5:8" x14ac:dyDescent="0.2">
      <c r="G645" t="str">
        <f>"03222.10"</f>
        <v>03222.10</v>
      </c>
      <c r="H645" t="s">
        <v>484</v>
      </c>
    </row>
    <row r="646" spans="5:8" x14ac:dyDescent="0.2">
      <c r="F646" t="str">
        <f>"03222.9"</f>
        <v>03222.9</v>
      </c>
      <c r="H646" t="s">
        <v>485</v>
      </c>
    </row>
    <row r="647" spans="5:8" x14ac:dyDescent="0.2">
      <c r="G647" t="str">
        <f>"03222.90"</f>
        <v>03222.90</v>
      </c>
      <c r="H647" t="s">
        <v>485</v>
      </c>
    </row>
    <row r="648" spans="5:8" x14ac:dyDescent="0.2">
      <c r="E648" t="str">
        <f>"03223"</f>
        <v>03223</v>
      </c>
      <c r="H648" t="s">
        <v>486</v>
      </c>
    </row>
    <row r="649" spans="5:8" x14ac:dyDescent="0.2">
      <c r="F649" t="str">
        <f>"03223.1"</f>
        <v>03223.1</v>
      </c>
      <c r="H649" t="s">
        <v>487</v>
      </c>
    </row>
    <row r="650" spans="5:8" x14ac:dyDescent="0.2">
      <c r="G650" t="str">
        <f>"03223.10"</f>
        <v>03223.10</v>
      </c>
      <c r="H650" t="s">
        <v>487</v>
      </c>
    </row>
    <row r="651" spans="5:8" x14ac:dyDescent="0.2">
      <c r="F651" t="str">
        <f>"03223.9"</f>
        <v>03223.9</v>
      </c>
      <c r="H651" t="s">
        <v>488</v>
      </c>
    </row>
    <row r="652" spans="5:8" x14ac:dyDescent="0.2">
      <c r="G652" t="str">
        <f>"03223.90"</f>
        <v>03223.90</v>
      </c>
      <c r="H652" t="s">
        <v>488</v>
      </c>
    </row>
    <row r="653" spans="5:8" x14ac:dyDescent="0.2">
      <c r="E653" t="str">
        <f>"03224"</f>
        <v>03224</v>
      </c>
      <c r="H653" t="s">
        <v>489</v>
      </c>
    </row>
    <row r="654" spans="5:8" x14ac:dyDescent="0.2">
      <c r="F654" t="str">
        <f>"03224.1"</f>
        <v>03224.1</v>
      </c>
      <c r="H654" t="s">
        <v>490</v>
      </c>
    </row>
    <row r="655" spans="5:8" x14ac:dyDescent="0.2">
      <c r="G655" t="str">
        <f>"03224.10"</f>
        <v>03224.10</v>
      </c>
      <c r="H655" t="s">
        <v>490</v>
      </c>
    </row>
    <row r="656" spans="5:8" x14ac:dyDescent="0.2">
      <c r="F656" t="str">
        <f>"03224.9"</f>
        <v>03224.9</v>
      </c>
      <c r="H656" t="s">
        <v>491</v>
      </c>
    </row>
    <row r="657" spans="5:8" x14ac:dyDescent="0.2">
      <c r="G657" t="str">
        <f>"03224.90"</f>
        <v>03224.90</v>
      </c>
      <c r="H657" t="s">
        <v>491</v>
      </c>
    </row>
    <row r="658" spans="5:8" x14ac:dyDescent="0.2">
      <c r="E658" t="str">
        <f>"03225"</f>
        <v>03225</v>
      </c>
      <c r="H658" t="s">
        <v>492</v>
      </c>
    </row>
    <row r="659" spans="5:8" x14ac:dyDescent="0.2">
      <c r="F659" t="str">
        <f>"03225.1"</f>
        <v>03225.1</v>
      </c>
      <c r="H659" t="s">
        <v>493</v>
      </c>
    </row>
    <row r="660" spans="5:8" x14ac:dyDescent="0.2">
      <c r="G660" t="str">
        <f>"03225.11"</f>
        <v>03225.11</v>
      </c>
      <c r="H660" t="s">
        <v>494</v>
      </c>
    </row>
    <row r="661" spans="5:8" x14ac:dyDescent="0.2">
      <c r="G661" t="str">
        <f>"03225.19"</f>
        <v>03225.19</v>
      </c>
      <c r="H661" t="s">
        <v>495</v>
      </c>
    </row>
    <row r="662" spans="5:8" x14ac:dyDescent="0.2">
      <c r="F662" t="str">
        <f>"03225.9"</f>
        <v>03225.9</v>
      </c>
      <c r="H662" t="s">
        <v>496</v>
      </c>
    </row>
    <row r="663" spans="5:8" x14ac:dyDescent="0.2">
      <c r="G663" t="str">
        <f>"03225.90"</f>
        <v>03225.90</v>
      </c>
      <c r="H663" t="s">
        <v>496</v>
      </c>
    </row>
    <row r="664" spans="5:8" x14ac:dyDescent="0.2">
      <c r="E664" t="str">
        <f>"03229"</f>
        <v>03229</v>
      </c>
      <c r="H664" t="s">
        <v>477</v>
      </c>
    </row>
    <row r="665" spans="5:8" x14ac:dyDescent="0.2">
      <c r="F665" t="str">
        <f>"03229.1"</f>
        <v>03229.1</v>
      </c>
      <c r="H665" t="s">
        <v>477</v>
      </c>
    </row>
    <row r="666" spans="5:8" x14ac:dyDescent="0.2">
      <c r="G666" t="str">
        <f>"03229.11"</f>
        <v>03229.11</v>
      </c>
      <c r="H666" t="s">
        <v>497</v>
      </c>
    </row>
    <row r="667" spans="5:8" x14ac:dyDescent="0.2">
      <c r="G667" t="str">
        <f>"03229.12"</f>
        <v>03229.12</v>
      </c>
      <c r="H667" t="s">
        <v>498</v>
      </c>
    </row>
    <row r="668" spans="5:8" x14ac:dyDescent="0.2">
      <c r="G668" t="str">
        <f>"03229.13"</f>
        <v>03229.13</v>
      </c>
      <c r="H668" t="s">
        <v>499</v>
      </c>
    </row>
    <row r="669" spans="5:8" x14ac:dyDescent="0.2">
      <c r="G669" t="str">
        <f>"03229.14"</f>
        <v>03229.14</v>
      </c>
      <c r="H669" t="s">
        <v>446</v>
      </c>
    </row>
    <row r="670" spans="5:8" x14ac:dyDescent="0.2">
      <c r="G670" t="str">
        <f>"03229.15"</f>
        <v>03229.15</v>
      </c>
      <c r="H670" t="s">
        <v>500</v>
      </c>
    </row>
    <row r="671" spans="5:8" x14ac:dyDescent="0.2">
      <c r="G671" t="str">
        <f>"03229.16"</f>
        <v>03229.16</v>
      </c>
      <c r="H671" t="s">
        <v>501</v>
      </c>
    </row>
    <row r="672" spans="5:8" x14ac:dyDescent="0.2">
      <c r="F672" t="str">
        <f>"03229.9"</f>
        <v>03229.9</v>
      </c>
      <c r="H672" t="s">
        <v>502</v>
      </c>
    </row>
    <row r="673" spans="1:8" x14ac:dyDescent="0.2">
      <c r="G673" t="str">
        <f>"03229.90"</f>
        <v>03229.90</v>
      </c>
      <c r="H673" t="s">
        <v>502</v>
      </c>
    </row>
    <row r="674" spans="1:8" x14ac:dyDescent="0.2">
      <c r="A674" t="s">
        <v>503</v>
      </c>
      <c r="H674" t="s">
        <v>504</v>
      </c>
    </row>
    <row r="675" spans="1:8" x14ac:dyDescent="0.2">
      <c r="B675" t="str">
        <f>"05"</f>
        <v>05</v>
      </c>
      <c r="H675" t="s">
        <v>505</v>
      </c>
    </row>
    <row r="676" spans="1:8" x14ac:dyDescent="0.2">
      <c r="C676" t="str">
        <f>"051"</f>
        <v>051</v>
      </c>
      <c r="H676" t="s">
        <v>506</v>
      </c>
    </row>
    <row r="677" spans="1:8" x14ac:dyDescent="0.2">
      <c r="D677" t="str">
        <f>"0510"</f>
        <v>0510</v>
      </c>
      <c r="H677" t="s">
        <v>506</v>
      </c>
    </row>
    <row r="678" spans="1:8" x14ac:dyDescent="0.2">
      <c r="E678" t="str">
        <f>"05100"</f>
        <v>05100</v>
      </c>
      <c r="H678" t="s">
        <v>506</v>
      </c>
    </row>
    <row r="679" spans="1:8" x14ac:dyDescent="0.2">
      <c r="F679" t="str">
        <f>"05100.0"</f>
        <v>05100.0</v>
      </c>
      <c r="H679" t="s">
        <v>507</v>
      </c>
    </row>
    <row r="680" spans="1:8" x14ac:dyDescent="0.2">
      <c r="G680" t="str">
        <f>"05100.00"</f>
        <v>05100.00</v>
      </c>
      <c r="H680" t="s">
        <v>508</v>
      </c>
    </row>
    <row r="681" spans="1:8" x14ac:dyDescent="0.2">
      <c r="C681" t="str">
        <f>"052"</f>
        <v>052</v>
      </c>
      <c r="H681" t="s">
        <v>509</v>
      </c>
    </row>
    <row r="682" spans="1:8" x14ac:dyDescent="0.2">
      <c r="D682" t="str">
        <f>"0520"</f>
        <v>0520</v>
      </c>
      <c r="H682" t="s">
        <v>509</v>
      </c>
    </row>
    <row r="683" spans="1:8" x14ac:dyDescent="0.2">
      <c r="E683" t="str">
        <f>"05200"</f>
        <v>05200</v>
      </c>
      <c r="H683" t="s">
        <v>509</v>
      </c>
    </row>
    <row r="684" spans="1:8" x14ac:dyDescent="0.2">
      <c r="F684" t="str">
        <f>"05200.0"</f>
        <v>05200.0</v>
      </c>
      <c r="H684" t="s">
        <v>510</v>
      </c>
    </row>
    <row r="685" spans="1:8" x14ac:dyDescent="0.2">
      <c r="G685" t="str">
        <f>"05200.00"</f>
        <v>05200.00</v>
      </c>
      <c r="H685" t="s">
        <v>510</v>
      </c>
    </row>
    <row r="686" spans="1:8" x14ac:dyDescent="0.2">
      <c r="B686" t="str">
        <f>"06"</f>
        <v>06</v>
      </c>
      <c r="H686" t="s">
        <v>511</v>
      </c>
    </row>
    <row r="687" spans="1:8" x14ac:dyDescent="0.2">
      <c r="C687" t="str">
        <f>"061"</f>
        <v>061</v>
      </c>
      <c r="H687" t="s">
        <v>512</v>
      </c>
    </row>
    <row r="688" spans="1:8" x14ac:dyDescent="0.2">
      <c r="D688" t="str">
        <f>"0610"</f>
        <v>0610</v>
      </c>
      <c r="H688" t="s">
        <v>512</v>
      </c>
    </row>
    <row r="689" spans="2:8" x14ac:dyDescent="0.2">
      <c r="E689" t="str">
        <f>"06100"</f>
        <v>06100</v>
      </c>
      <c r="H689" t="s">
        <v>512</v>
      </c>
    </row>
    <row r="690" spans="2:8" x14ac:dyDescent="0.2">
      <c r="F690" t="str">
        <f>"06100.1"</f>
        <v>06100.1</v>
      </c>
      <c r="H690" t="s">
        <v>513</v>
      </c>
    </row>
    <row r="691" spans="2:8" x14ac:dyDescent="0.2">
      <c r="G691" t="str">
        <f>"06100.10"</f>
        <v>06100.10</v>
      </c>
      <c r="H691" t="s">
        <v>513</v>
      </c>
    </row>
    <row r="692" spans="2:8" x14ac:dyDescent="0.2">
      <c r="F692" t="str">
        <f>"06100.2"</f>
        <v>06100.2</v>
      </c>
      <c r="H692" t="s">
        <v>514</v>
      </c>
    </row>
    <row r="693" spans="2:8" x14ac:dyDescent="0.2">
      <c r="G693" t="str">
        <f>"06100.20"</f>
        <v>06100.20</v>
      </c>
      <c r="H693" t="s">
        <v>514</v>
      </c>
    </row>
    <row r="694" spans="2:8" x14ac:dyDescent="0.2">
      <c r="C694" t="str">
        <f>"062"</f>
        <v>062</v>
      </c>
      <c r="H694" t="s">
        <v>515</v>
      </c>
    </row>
    <row r="695" spans="2:8" x14ac:dyDescent="0.2">
      <c r="D695" t="str">
        <f>"0620"</f>
        <v>0620</v>
      </c>
      <c r="H695" t="s">
        <v>515</v>
      </c>
    </row>
    <row r="696" spans="2:8" x14ac:dyDescent="0.2">
      <c r="E696" t="str">
        <f>"06200"</f>
        <v>06200</v>
      </c>
      <c r="H696" t="s">
        <v>515</v>
      </c>
    </row>
    <row r="697" spans="2:8" x14ac:dyDescent="0.2">
      <c r="F697" t="str">
        <f>"06200.0"</f>
        <v>06200.0</v>
      </c>
      <c r="H697" t="s">
        <v>516</v>
      </c>
    </row>
    <row r="698" spans="2:8" x14ac:dyDescent="0.2">
      <c r="G698" t="str">
        <f>"06200.00"</f>
        <v>06200.00</v>
      </c>
      <c r="H698" t="s">
        <v>516</v>
      </c>
    </row>
    <row r="699" spans="2:8" x14ac:dyDescent="0.2">
      <c r="B699" t="str">
        <f>"07"</f>
        <v>07</v>
      </c>
      <c r="H699" t="s">
        <v>517</v>
      </c>
    </row>
    <row r="700" spans="2:8" x14ac:dyDescent="0.2">
      <c r="C700" t="str">
        <f>"071"</f>
        <v>071</v>
      </c>
      <c r="H700" t="s">
        <v>518</v>
      </c>
    </row>
    <row r="701" spans="2:8" x14ac:dyDescent="0.2">
      <c r="D701" t="str">
        <f>"0710"</f>
        <v>0710</v>
      </c>
      <c r="H701" t="s">
        <v>518</v>
      </c>
    </row>
    <row r="702" spans="2:8" x14ac:dyDescent="0.2">
      <c r="E702" t="str">
        <f>"07100"</f>
        <v>07100</v>
      </c>
      <c r="H702" t="s">
        <v>518</v>
      </c>
    </row>
    <row r="703" spans="2:8" x14ac:dyDescent="0.2">
      <c r="F703" t="str">
        <f>"07100.0"</f>
        <v>07100.0</v>
      </c>
      <c r="H703" t="s">
        <v>519</v>
      </c>
    </row>
    <row r="704" spans="2:8" x14ac:dyDescent="0.2">
      <c r="G704" t="str">
        <f>"07100.00"</f>
        <v>07100.00</v>
      </c>
      <c r="H704" t="s">
        <v>519</v>
      </c>
    </row>
    <row r="705" spans="3:8" x14ac:dyDescent="0.2">
      <c r="C705" t="str">
        <f>"072"</f>
        <v>072</v>
      </c>
      <c r="H705" t="s">
        <v>520</v>
      </c>
    </row>
    <row r="706" spans="3:8" x14ac:dyDescent="0.2">
      <c r="D706" t="str">
        <f>"0721"</f>
        <v>0721</v>
      </c>
      <c r="H706" t="s">
        <v>521</v>
      </c>
    </row>
    <row r="707" spans="3:8" x14ac:dyDescent="0.2">
      <c r="E707" t="str">
        <f>"07210"</f>
        <v>07210</v>
      </c>
      <c r="H707" t="s">
        <v>521</v>
      </c>
    </row>
    <row r="708" spans="3:8" x14ac:dyDescent="0.2">
      <c r="F708" t="str">
        <f>"07210.0"</f>
        <v>07210.0</v>
      </c>
      <c r="H708" t="s">
        <v>522</v>
      </c>
    </row>
    <row r="709" spans="3:8" x14ac:dyDescent="0.2">
      <c r="G709" t="str">
        <f>"07210.00"</f>
        <v>07210.00</v>
      </c>
      <c r="H709" t="s">
        <v>522</v>
      </c>
    </row>
    <row r="710" spans="3:8" x14ac:dyDescent="0.2">
      <c r="D710" t="str">
        <f>"0729"</f>
        <v>0729</v>
      </c>
      <c r="H710" t="s">
        <v>523</v>
      </c>
    </row>
    <row r="711" spans="3:8" x14ac:dyDescent="0.2">
      <c r="E711" t="str">
        <f>"07291"</f>
        <v>07291</v>
      </c>
      <c r="H711" t="s">
        <v>524</v>
      </c>
    </row>
    <row r="712" spans="3:8" x14ac:dyDescent="0.2">
      <c r="F712" t="str">
        <f>"07291.0"</f>
        <v>07291.0</v>
      </c>
      <c r="H712" t="s">
        <v>525</v>
      </c>
    </row>
    <row r="713" spans="3:8" x14ac:dyDescent="0.2">
      <c r="G713" t="str">
        <f>"07291.00"</f>
        <v>07291.00</v>
      </c>
      <c r="H713" t="s">
        <v>525</v>
      </c>
    </row>
    <row r="714" spans="3:8" x14ac:dyDescent="0.2">
      <c r="E714" t="str">
        <f>"07292"</f>
        <v>07292</v>
      </c>
      <c r="H714" t="s">
        <v>526</v>
      </c>
    </row>
    <row r="715" spans="3:8" x14ac:dyDescent="0.2">
      <c r="F715" t="str">
        <f>"07292.0"</f>
        <v>07292.0</v>
      </c>
      <c r="H715" t="s">
        <v>527</v>
      </c>
    </row>
    <row r="716" spans="3:8" x14ac:dyDescent="0.2">
      <c r="G716" t="str">
        <f>"07292.00"</f>
        <v>07292.00</v>
      </c>
      <c r="H716" t="s">
        <v>527</v>
      </c>
    </row>
    <row r="717" spans="3:8" x14ac:dyDescent="0.2">
      <c r="E717" t="str">
        <f>"07299"</f>
        <v>07299</v>
      </c>
      <c r="H717" t="s">
        <v>528</v>
      </c>
    </row>
    <row r="718" spans="3:8" x14ac:dyDescent="0.2">
      <c r="F718" t="str">
        <f>"07299.1"</f>
        <v>07299.1</v>
      </c>
      <c r="H718" t="s">
        <v>529</v>
      </c>
    </row>
    <row r="719" spans="3:8" x14ac:dyDescent="0.2">
      <c r="G719" t="str">
        <f>"07299.10"</f>
        <v>07299.10</v>
      </c>
      <c r="H719" t="s">
        <v>529</v>
      </c>
    </row>
    <row r="720" spans="3:8" x14ac:dyDescent="0.2">
      <c r="F720" t="str">
        <f>"07299.2"</f>
        <v>07299.2</v>
      </c>
      <c r="H720" t="s">
        <v>530</v>
      </c>
    </row>
    <row r="721" spans="2:8" x14ac:dyDescent="0.2">
      <c r="G721" t="str">
        <f>"07299.20"</f>
        <v>07299.20</v>
      </c>
      <c r="H721" t="s">
        <v>530</v>
      </c>
    </row>
    <row r="722" spans="2:8" x14ac:dyDescent="0.2">
      <c r="F722" t="str">
        <f>"07299.3"</f>
        <v>07299.3</v>
      </c>
      <c r="H722" t="s">
        <v>531</v>
      </c>
    </row>
    <row r="723" spans="2:8" x14ac:dyDescent="0.2">
      <c r="G723" t="str">
        <f>"07299.30"</f>
        <v>07299.30</v>
      </c>
      <c r="H723" t="s">
        <v>531</v>
      </c>
    </row>
    <row r="724" spans="2:8" x14ac:dyDescent="0.2">
      <c r="F724" t="str">
        <f>"07299.4"</f>
        <v>07299.4</v>
      </c>
      <c r="H724" t="s">
        <v>532</v>
      </c>
    </row>
    <row r="725" spans="2:8" x14ac:dyDescent="0.2">
      <c r="G725" t="str">
        <f>"07299.40"</f>
        <v>07299.40</v>
      </c>
      <c r="H725" t="s">
        <v>532</v>
      </c>
    </row>
    <row r="726" spans="2:8" x14ac:dyDescent="0.2">
      <c r="F726" t="str">
        <f>"07299.9"</f>
        <v>07299.9</v>
      </c>
      <c r="H726" t="s">
        <v>528</v>
      </c>
    </row>
    <row r="727" spans="2:8" x14ac:dyDescent="0.2">
      <c r="G727" t="str">
        <f>"07299.90"</f>
        <v>07299.90</v>
      </c>
      <c r="H727" t="s">
        <v>528</v>
      </c>
    </row>
    <row r="728" spans="2:8" x14ac:dyDescent="0.2">
      <c r="C728" t="str">
        <f>"073"</f>
        <v>073</v>
      </c>
      <c r="H728" t="s">
        <v>533</v>
      </c>
    </row>
    <row r="729" spans="2:8" x14ac:dyDescent="0.2">
      <c r="D729" t="str">
        <f>"0730"</f>
        <v>0730</v>
      </c>
      <c r="H729" t="s">
        <v>533</v>
      </c>
    </row>
    <row r="730" spans="2:8" x14ac:dyDescent="0.2">
      <c r="E730" t="str">
        <f>"07300"</f>
        <v>07300</v>
      </c>
      <c r="H730" t="s">
        <v>533</v>
      </c>
    </row>
    <row r="731" spans="2:8" x14ac:dyDescent="0.2">
      <c r="F731" t="str">
        <f>"07300.0"</f>
        <v>07300.0</v>
      </c>
      <c r="H731" t="s">
        <v>534</v>
      </c>
    </row>
    <row r="732" spans="2:8" x14ac:dyDescent="0.2">
      <c r="G732" t="str">
        <f>"07300.00"</f>
        <v>07300.00</v>
      </c>
      <c r="H732" t="s">
        <v>534</v>
      </c>
    </row>
    <row r="733" spans="2:8" x14ac:dyDescent="0.2">
      <c r="B733" t="str">
        <f>"08"</f>
        <v>08</v>
      </c>
      <c r="H733" t="s">
        <v>535</v>
      </c>
    </row>
    <row r="734" spans="2:8" x14ac:dyDescent="0.2">
      <c r="C734" t="str">
        <f>"081"</f>
        <v>081</v>
      </c>
      <c r="H734" t="s">
        <v>536</v>
      </c>
    </row>
    <row r="735" spans="2:8" x14ac:dyDescent="0.2">
      <c r="D735" t="str">
        <f>"0810"</f>
        <v>0810</v>
      </c>
      <c r="H735" t="s">
        <v>536</v>
      </c>
    </row>
    <row r="736" spans="2:8" x14ac:dyDescent="0.2">
      <c r="E736" t="str">
        <f>"08101"</f>
        <v>08101</v>
      </c>
      <c r="H736" t="s">
        <v>537</v>
      </c>
    </row>
    <row r="737" spans="5:8" x14ac:dyDescent="0.2">
      <c r="F737" t="str">
        <f>"08101.1"</f>
        <v>08101.1</v>
      </c>
      <c r="H737" t="s">
        <v>538</v>
      </c>
    </row>
    <row r="738" spans="5:8" x14ac:dyDescent="0.2">
      <c r="G738" t="str">
        <f>"08101.10"</f>
        <v>08101.10</v>
      </c>
      <c r="H738" t="s">
        <v>538</v>
      </c>
    </row>
    <row r="739" spans="5:8" x14ac:dyDescent="0.2">
      <c r="F739" t="str">
        <f>"08101.2"</f>
        <v>08101.2</v>
      </c>
      <c r="H739" t="s">
        <v>539</v>
      </c>
    </row>
    <row r="740" spans="5:8" x14ac:dyDescent="0.2">
      <c r="G740" t="str">
        <f>"08101.20"</f>
        <v>08101.20</v>
      </c>
      <c r="H740" t="s">
        <v>539</v>
      </c>
    </row>
    <row r="741" spans="5:8" x14ac:dyDescent="0.2">
      <c r="F741" t="str">
        <f>"08101.3"</f>
        <v>08101.3</v>
      </c>
      <c r="H741" t="s">
        <v>540</v>
      </c>
    </row>
    <row r="742" spans="5:8" x14ac:dyDescent="0.2">
      <c r="G742" t="str">
        <f>"08101.30"</f>
        <v>08101.30</v>
      </c>
      <c r="H742" t="s">
        <v>540</v>
      </c>
    </row>
    <row r="743" spans="5:8" x14ac:dyDescent="0.2">
      <c r="E743" t="str">
        <f>"08102"</f>
        <v>08102</v>
      </c>
      <c r="H743" t="s">
        <v>541</v>
      </c>
    </row>
    <row r="744" spans="5:8" x14ac:dyDescent="0.2">
      <c r="F744" t="str">
        <f>"08102.1"</f>
        <v>08102.1</v>
      </c>
      <c r="H744" t="s">
        <v>542</v>
      </c>
    </row>
    <row r="745" spans="5:8" x14ac:dyDescent="0.2">
      <c r="G745" t="str">
        <f>"08102.10"</f>
        <v>08102.10</v>
      </c>
      <c r="H745" t="s">
        <v>542</v>
      </c>
    </row>
    <row r="746" spans="5:8" x14ac:dyDescent="0.2">
      <c r="F746" t="str">
        <f>"08102.2"</f>
        <v>08102.2</v>
      </c>
      <c r="H746" t="s">
        <v>543</v>
      </c>
    </row>
    <row r="747" spans="5:8" x14ac:dyDescent="0.2">
      <c r="G747" t="str">
        <f>"08102.20"</f>
        <v>08102.20</v>
      </c>
      <c r="H747" t="s">
        <v>543</v>
      </c>
    </row>
    <row r="748" spans="5:8" x14ac:dyDescent="0.2">
      <c r="E748" t="str">
        <f>"08103"</f>
        <v>08103</v>
      </c>
      <c r="H748" t="s">
        <v>544</v>
      </c>
    </row>
    <row r="749" spans="5:8" x14ac:dyDescent="0.2">
      <c r="F749" t="str">
        <f>"08103.0"</f>
        <v>08103.0</v>
      </c>
      <c r="H749" t="s">
        <v>544</v>
      </c>
    </row>
    <row r="750" spans="5:8" x14ac:dyDescent="0.2">
      <c r="G750" t="str">
        <f>"08103.01"</f>
        <v>08103.01</v>
      </c>
      <c r="H750" t="s">
        <v>545</v>
      </c>
    </row>
    <row r="751" spans="5:8" x14ac:dyDescent="0.2">
      <c r="G751" t="str">
        <f>"08103.02"</f>
        <v>08103.02</v>
      </c>
      <c r="H751" t="s">
        <v>546</v>
      </c>
    </row>
    <row r="752" spans="5:8" x14ac:dyDescent="0.2">
      <c r="G752" t="str">
        <f>"08103.03"</f>
        <v>08103.03</v>
      </c>
      <c r="H752" t="s">
        <v>547</v>
      </c>
    </row>
    <row r="753" spans="3:8" x14ac:dyDescent="0.2">
      <c r="E753" t="str">
        <f>"08104"</f>
        <v>08104</v>
      </c>
      <c r="H753" t="s">
        <v>548</v>
      </c>
    </row>
    <row r="754" spans="3:8" x14ac:dyDescent="0.2">
      <c r="F754" t="str">
        <f>"08104.0"</f>
        <v>08104.0</v>
      </c>
      <c r="H754" t="s">
        <v>548</v>
      </c>
    </row>
    <row r="755" spans="3:8" x14ac:dyDescent="0.2">
      <c r="G755" t="str">
        <f>"08104.01"</f>
        <v>08104.01</v>
      </c>
      <c r="H755" t="s">
        <v>549</v>
      </c>
    </row>
    <row r="756" spans="3:8" x14ac:dyDescent="0.2">
      <c r="G756" t="str">
        <f>"08104.09"</f>
        <v>08104.09</v>
      </c>
      <c r="H756" t="s">
        <v>550</v>
      </c>
    </row>
    <row r="757" spans="3:8" x14ac:dyDescent="0.2">
      <c r="C757" t="str">
        <f>"089"</f>
        <v>089</v>
      </c>
      <c r="H757" t="s">
        <v>551</v>
      </c>
    </row>
    <row r="758" spans="3:8" x14ac:dyDescent="0.2">
      <c r="D758" t="str">
        <f>"0891"</f>
        <v>0891</v>
      </c>
      <c r="H758" t="s">
        <v>552</v>
      </c>
    </row>
    <row r="759" spans="3:8" x14ac:dyDescent="0.2">
      <c r="E759" t="str">
        <f>"08910"</f>
        <v>08910</v>
      </c>
      <c r="H759" t="s">
        <v>552</v>
      </c>
    </row>
    <row r="760" spans="3:8" x14ac:dyDescent="0.2">
      <c r="F760" t="str">
        <f>"08910.0"</f>
        <v>08910.0</v>
      </c>
      <c r="H760" t="s">
        <v>552</v>
      </c>
    </row>
    <row r="761" spans="3:8" x14ac:dyDescent="0.2">
      <c r="G761" t="str">
        <f>"08910.01"</f>
        <v>08910.01</v>
      </c>
      <c r="H761" t="s">
        <v>553</v>
      </c>
    </row>
    <row r="762" spans="3:8" x14ac:dyDescent="0.2">
      <c r="G762" t="str">
        <f>"08910.02"</f>
        <v>08910.02</v>
      </c>
      <c r="H762" t="s">
        <v>554</v>
      </c>
    </row>
    <row r="763" spans="3:8" x14ac:dyDescent="0.2">
      <c r="G763" t="str">
        <f>"08910.09"</f>
        <v>08910.09</v>
      </c>
      <c r="H763" t="s">
        <v>555</v>
      </c>
    </row>
    <row r="764" spans="3:8" x14ac:dyDescent="0.2">
      <c r="D764" t="str">
        <f>"0892"</f>
        <v>0892</v>
      </c>
      <c r="H764" t="s">
        <v>556</v>
      </c>
    </row>
    <row r="765" spans="3:8" x14ac:dyDescent="0.2">
      <c r="E765" t="str">
        <f>"08920"</f>
        <v>08920</v>
      </c>
      <c r="H765" t="s">
        <v>556</v>
      </c>
    </row>
    <row r="766" spans="3:8" x14ac:dyDescent="0.2">
      <c r="F766" t="str">
        <f>"08920.0"</f>
        <v>08920.0</v>
      </c>
      <c r="H766" t="s">
        <v>557</v>
      </c>
    </row>
    <row r="767" spans="3:8" x14ac:dyDescent="0.2">
      <c r="G767" t="str">
        <f>"08920.00"</f>
        <v>08920.00</v>
      </c>
      <c r="H767" t="s">
        <v>557</v>
      </c>
    </row>
    <row r="768" spans="3:8" x14ac:dyDescent="0.2">
      <c r="D768" t="str">
        <f>"0893"</f>
        <v>0893</v>
      </c>
      <c r="H768" t="s">
        <v>558</v>
      </c>
    </row>
    <row r="769" spans="4:8" x14ac:dyDescent="0.2">
      <c r="E769" t="str">
        <f>"08931"</f>
        <v>08931</v>
      </c>
      <c r="H769" t="s">
        <v>559</v>
      </c>
    </row>
    <row r="770" spans="4:8" x14ac:dyDescent="0.2">
      <c r="F770" t="str">
        <f>"08931.0"</f>
        <v>08931.0</v>
      </c>
      <c r="H770" t="s">
        <v>559</v>
      </c>
    </row>
    <row r="771" spans="4:8" x14ac:dyDescent="0.2">
      <c r="G771" t="str">
        <f>"08931.00"</f>
        <v>08931.00</v>
      </c>
      <c r="H771" t="s">
        <v>559</v>
      </c>
    </row>
    <row r="772" spans="4:8" x14ac:dyDescent="0.2">
      <c r="E772" t="str">
        <f>"08932"</f>
        <v>08932</v>
      </c>
      <c r="H772" t="s">
        <v>560</v>
      </c>
    </row>
    <row r="773" spans="4:8" x14ac:dyDescent="0.2">
      <c r="F773" t="str">
        <f>"08932.0"</f>
        <v>08932.0</v>
      </c>
      <c r="H773" t="s">
        <v>560</v>
      </c>
    </row>
    <row r="774" spans="4:8" x14ac:dyDescent="0.2">
      <c r="G774" t="str">
        <f>"08932.00"</f>
        <v>08932.00</v>
      </c>
      <c r="H774" t="s">
        <v>560</v>
      </c>
    </row>
    <row r="775" spans="4:8" x14ac:dyDescent="0.2">
      <c r="D775" t="str">
        <f>"0899"</f>
        <v>0899</v>
      </c>
      <c r="H775" t="s">
        <v>561</v>
      </c>
    </row>
    <row r="776" spans="4:8" x14ac:dyDescent="0.2">
      <c r="E776" t="str">
        <f>"08991"</f>
        <v>08991</v>
      </c>
      <c r="H776" t="s">
        <v>562</v>
      </c>
    </row>
    <row r="777" spans="4:8" x14ac:dyDescent="0.2">
      <c r="F777" t="str">
        <f>"08991.0"</f>
        <v>08991.0</v>
      </c>
      <c r="H777" t="s">
        <v>562</v>
      </c>
    </row>
    <row r="778" spans="4:8" x14ac:dyDescent="0.2">
      <c r="G778" t="str">
        <f>"08991.01"</f>
        <v>08991.01</v>
      </c>
      <c r="H778" t="s">
        <v>563</v>
      </c>
    </row>
    <row r="779" spans="4:8" x14ac:dyDescent="0.2">
      <c r="G779" t="str">
        <f>"08991.02"</f>
        <v>08991.02</v>
      </c>
      <c r="H779" t="s">
        <v>564</v>
      </c>
    </row>
    <row r="780" spans="4:8" x14ac:dyDescent="0.2">
      <c r="E780" t="str">
        <f>"08999"</f>
        <v>08999</v>
      </c>
      <c r="H780" t="s">
        <v>561</v>
      </c>
    </row>
    <row r="781" spans="4:8" x14ac:dyDescent="0.2">
      <c r="F781" t="str">
        <f>"08999.1"</f>
        <v>08999.1</v>
      </c>
      <c r="H781" t="s">
        <v>565</v>
      </c>
    </row>
    <row r="782" spans="4:8" x14ac:dyDescent="0.2">
      <c r="G782" t="str">
        <f>"08999.10"</f>
        <v>08999.10</v>
      </c>
      <c r="H782" t="s">
        <v>565</v>
      </c>
    </row>
    <row r="783" spans="4:8" x14ac:dyDescent="0.2">
      <c r="F783" t="str">
        <f>"08999.2"</f>
        <v>08999.2</v>
      </c>
      <c r="H783" t="s">
        <v>566</v>
      </c>
    </row>
    <row r="784" spans="4:8" x14ac:dyDescent="0.2">
      <c r="G784" t="str">
        <f>"08999.21"</f>
        <v>08999.21</v>
      </c>
      <c r="H784" t="s">
        <v>567</v>
      </c>
    </row>
    <row r="785" spans="1:8" x14ac:dyDescent="0.2">
      <c r="G785" t="str">
        <f>"08999.29"</f>
        <v>08999.29</v>
      </c>
      <c r="H785" t="s">
        <v>568</v>
      </c>
    </row>
    <row r="786" spans="1:8" x14ac:dyDescent="0.2">
      <c r="B786" t="str">
        <f>"09"</f>
        <v>09</v>
      </c>
      <c r="H786" t="s">
        <v>569</v>
      </c>
    </row>
    <row r="787" spans="1:8" x14ac:dyDescent="0.2">
      <c r="C787" t="str">
        <f>"091"</f>
        <v>091</v>
      </c>
      <c r="H787" t="s">
        <v>570</v>
      </c>
    </row>
    <row r="788" spans="1:8" x14ac:dyDescent="0.2">
      <c r="D788" t="str">
        <f>"0910"</f>
        <v>0910</v>
      </c>
      <c r="H788" t="s">
        <v>570</v>
      </c>
    </row>
    <row r="789" spans="1:8" x14ac:dyDescent="0.2">
      <c r="E789" t="str">
        <f>"09100"</f>
        <v>09100</v>
      </c>
      <c r="H789" t="s">
        <v>570</v>
      </c>
    </row>
    <row r="790" spans="1:8" x14ac:dyDescent="0.2">
      <c r="F790" t="str">
        <f>"09100.0"</f>
        <v>09100.0</v>
      </c>
      <c r="H790" t="s">
        <v>570</v>
      </c>
    </row>
    <row r="791" spans="1:8" x14ac:dyDescent="0.2">
      <c r="G791" t="str">
        <f>"09100.01"</f>
        <v>09100.01</v>
      </c>
      <c r="H791" t="s">
        <v>571</v>
      </c>
    </row>
    <row r="792" spans="1:8" x14ac:dyDescent="0.2">
      <c r="G792" t="str">
        <f>"09100.02"</f>
        <v>09100.02</v>
      </c>
      <c r="H792" t="s">
        <v>572</v>
      </c>
    </row>
    <row r="793" spans="1:8" x14ac:dyDescent="0.2">
      <c r="G793" t="str">
        <f>"09100.03"</f>
        <v>09100.03</v>
      </c>
      <c r="H793" t="s">
        <v>573</v>
      </c>
    </row>
    <row r="794" spans="1:8" x14ac:dyDescent="0.2">
      <c r="C794" t="str">
        <f>"099"</f>
        <v>099</v>
      </c>
      <c r="H794" t="s">
        <v>574</v>
      </c>
    </row>
    <row r="795" spans="1:8" x14ac:dyDescent="0.2">
      <c r="D795" t="str">
        <f>"0990"</f>
        <v>0990</v>
      </c>
      <c r="H795" t="s">
        <v>574</v>
      </c>
    </row>
    <row r="796" spans="1:8" x14ac:dyDescent="0.2">
      <c r="E796" t="str">
        <f>"09900"</f>
        <v>09900</v>
      </c>
      <c r="H796" t="s">
        <v>574</v>
      </c>
    </row>
    <row r="797" spans="1:8" x14ac:dyDescent="0.2">
      <c r="F797" t="str">
        <f>"09900.0"</f>
        <v>09900.0</v>
      </c>
      <c r="H797" t="s">
        <v>574</v>
      </c>
    </row>
    <row r="798" spans="1:8" x14ac:dyDescent="0.2">
      <c r="G798" t="str">
        <f>"09900.01"</f>
        <v>09900.01</v>
      </c>
      <c r="H798" t="s">
        <v>575</v>
      </c>
    </row>
    <row r="799" spans="1:8" x14ac:dyDescent="0.2">
      <c r="G799" t="str">
        <f>"09900.09"</f>
        <v>09900.09</v>
      </c>
      <c r="H799" t="s">
        <v>576</v>
      </c>
    </row>
    <row r="800" spans="1:8" x14ac:dyDescent="0.2">
      <c r="A800" t="s">
        <v>577</v>
      </c>
      <c r="H800" t="s">
        <v>578</v>
      </c>
    </row>
    <row r="801" spans="2:8" x14ac:dyDescent="0.2">
      <c r="B801" t="str">
        <f>"10"</f>
        <v>10</v>
      </c>
      <c r="H801" t="s">
        <v>579</v>
      </c>
    </row>
    <row r="802" spans="2:8" x14ac:dyDescent="0.2">
      <c r="C802" t="str">
        <f>"101"</f>
        <v>101</v>
      </c>
      <c r="H802" t="s">
        <v>580</v>
      </c>
    </row>
    <row r="803" spans="2:8" x14ac:dyDescent="0.2">
      <c r="D803" t="str">
        <f>"1011"</f>
        <v>1011</v>
      </c>
      <c r="H803" t="s">
        <v>581</v>
      </c>
    </row>
    <row r="804" spans="2:8" x14ac:dyDescent="0.2">
      <c r="E804" t="str">
        <f>"10111"</f>
        <v>10111</v>
      </c>
      <c r="H804" t="s">
        <v>582</v>
      </c>
    </row>
    <row r="805" spans="2:8" x14ac:dyDescent="0.2">
      <c r="F805" t="str">
        <f>"10111.1"</f>
        <v>10111.1</v>
      </c>
      <c r="H805" t="s">
        <v>583</v>
      </c>
    </row>
    <row r="806" spans="2:8" x14ac:dyDescent="0.2">
      <c r="G806" t="str">
        <f>"10111.11"</f>
        <v>10111.11</v>
      </c>
      <c r="H806" t="s">
        <v>584</v>
      </c>
    </row>
    <row r="807" spans="2:8" x14ac:dyDescent="0.2">
      <c r="G807" t="str">
        <f>"10111.12"</f>
        <v>10111.12</v>
      </c>
      <c r="H807" t="s">
        <v>585</v>
      </c>
    </row>
    <row r="808" spans="2:8" x14ac:dyDescent="0.2">
      <c r="G808" t="str">
        <f>"10111.13"</f>
        <v>10111.13</v>
      </c>
      <c r="H808" t="s">
        <v>586</v>
      </c>
    </row>
    <row r="809" spans="2:8" x14ac:dyDescent="0.2">
      <c r="G809" t="str">
        <f>"10111.19"</f>
        <v>10111.19</v>
      </c>
      <c r="H809" t="s">
        <v>587</v>
      </c>
    </row>
    <row r="810" spans="2:8" x14ac:dyDescent="0.2">
      <c r="F810" t="str">
        <f>"10111.2"</f>
        <v>10111.2</v>
      </c>
      <c r="H810" t="s">
        <v>588</v>
      </c>
    </row>
    <row r="811" spans="2:8" x14ac:dyDescent="0.2">
      <c r="G811" t="str">
        <f>"10111.21"</f>
        <v>10111.21</v>
      </c>
      <c r="H811" t="s">
        <v>589</v>
      </c>
    </row>
    <row r="812" spans="2:8" x14ac:dyDescent="0.2">
      <c r="G812" t="str">
        <f>"10111.22"</f>
        <v>10111.22</v>
      </c>
      <c r="H812" t="s">
        <v>590</v>
      </c>
    </row>
    <row r="813" spans="2:8" x14ac:dyDescent="0.2">
      <c r="G813" t="str">
        <f>"10111.23"</f>
        <v>10111.23</v>
      </c>
      <c r="H813" t="s">
        <v>591</v>
      </c>
    </row>
    <row r="814" spans="2:8" x14ac:dyDescent="0.2">
      <c r="G814" t="str">
        <f>"10111.29"</f>
        <v>10111.29</v>
      </c>
      <c r="H814" t="s">
        <v>592</v>
      </c>
    </row>
    <row r="815" spans="2:8" x14ac:dyDescent="0.2">
      <c r="F815" t="str">
        <f>"10111.3"</f>
        <v>10111.3</v>
      </c>
      <c r="H815" t="s">
        <v>593</v>
      </c>
    </row>
    <row r="816" spans="2:8" x14ac:dyDescent="0.2">
      <c r="G816" t="str">
        <f>"10111.31"</f>
        <v>10111.31</v>
      </c>
      <c r="H816" t="s">
        <v>594</v>
      </c>
    </row>
    <row r="817" spans="6:8" x14ac:dyDescent="0.2">
      <c r="G817" t="str">
        <f>"10111.32"</f>
        <v>10111.32</v>
      </c>
      <c r="H817" t="s">
        <v>595</v>
      </c>
    </row>
    <row r="818" spans="6:8" x14ac:dyDescent="0.2">
      <c r="G818" t="str">
        <f>"10111.33"</f>
        <v>10111.33</v>
      </c>
      <c r="H818" t="s">
        <v>596</v>
      </c>
    </row>
    <row r="819" spans="6:8" x14ac:dyDescent="0.2">
      <c r="G819" t="str">
        <f>"10111.39"</f>
        <v>10111.39</v>
      </c>
      <c r="H819" t="s">
        <v>597</v>
      </c>
    </row>
    <row r="820" spans="6:8" x14ac:dyDescent="0.2">
      <c r="F820" t="str">
        <f>"10111.4"</f>
        <v>10111.4</v>
      </c>
      <c r="H820" t="s">
        <v>598</v>
      </c>
    </row>
    <row r="821" spans="6:8" x14ac:dyDescent="0.2">
      <c r="G821" t="str">
        <f>"10111.41"</f>
        <v>10111.41</v>
      </c>
      <c r="H821" t="s">
        <v>599</v>
      </c>
    </row>
    <row r="822" spans="6:8" x14ac:dyDescent="0.2">
      <c r="G822" t="str">
        <f>"10111.42"</f>
        <v>10111.42</v>
      </c>
      <c r="H822" t="s">
        <v>600</v>
      </c>
    </row>
    <row r="823" spans="6:8" x14ac:dyDescent="0.2">
      <c r="G823" t="str">
        <f>"10111.43"</f>
        <v>10111.43</v>
      </c>
      <c r="H823" t="s">
        <v>601</v>
      </c>
    </row>
    <row r="824" spans="6:8" x14ac:dyDescent="0.2">
      <c r="G824" t="str">
        <f>"10111.49"</f>
        <v>10111.49</v>
      </c>
      <c r="H824" t="s">
        <v>602</v>
      </c>
    </row>
    <row r="825" spans="6:8" x14ac:dyDescent="0.2">
      <c r="F825" t="str">
        <f>"10111.5"</f>
        <v>10111.5</v>
      </c>
      <c r="H825" t="s">
        <v>603</v>
      </c>
    </row>
    <row r="826" spans="6:8" x14ac:dyDescent="0.2">
      <c r="G826" t="str">
        <f>"10111.51"</f>
        <v>10111.51</v>
      </c>
      <c r="H826" t="s">
        <v>604</v>
      </c>
    </row>
    <row r="827" spans="6:8" x14ac:dyDescent="0.2">
      <c r="G827" t="str">
        <f>"10111.52"</f>
        <v>10111.52</v>
      </c>
      <c r="H827" t="s">
        <v>605</v>
      </c>
    </row>
    <row r="828" spans="6:8" x14ac:dyDescent="0.2">
      <c r="G828" t="str">
        <f>"10111.59"</f>
        <v>10111.59</v>
      </c>
      <c r="H828" t="s">
        <v>606</v>
      </c>
    </row>
    <row r="829" spans="6:8" x14ac:dyDescent="0.2">
      <c r="F829" t="str">
        <f>"10111.6"</f>
        <v>10111.6</v>
      </c>
      <c r="H829" t="s">
        <v>607</v>
      </c>
    </row>
    <row r="830" spans="6:8" x14ac:dyDescent="0.2">
      <c r="G830" t="str">
        <f>"10111.61"</f>
        <v>10111.61</v>
      </c>
      <c r="H830" t="s">
        <v>608</v>
      </c>
    </row>
    <row r="831" spans="6:8" x14ac:dyDescent="0.2">
      <c r="G831" t="str">
        <f>"10111.69"</f>
        <v>10111.69</v>
      </c>
      <c r="H831" t="s">
        <v>609</v>
      </c>
    </row>
    <row r="832" spans="6:8" x14ac:dyDescent="0.2">
      <c r="F832" t="str">
        <f>"10111.7"</f>
        <v>10111.7</v>
      </c>
      <c r="H832" t="s">
        <v>610</v>
      </c>
    </row>
    <row r="833" spans="5:8" x14ac:dyDescent="0.2">
      <c r="G833" t="str">
        <f>"10111.70"</f>
        <v>10111.70</v>
      </c>
      <c r="H833" t="s">
        <v>610</v>
      </c>
    </row>
    <row r="834" spans="5:8" x14ac:dyDescent="0.2">
      <c r="F834" t="str">
        <f>"10111.8"</f>
        <v>10111.8</v>
      </c>
      <c r="H834" t="s">
        <v>611</v>
      </c>
    </row>
    <row r="835" spans="5:8" x14ac:dyDescent="0.2">
      <c r="G835" t="str">
        <f>"10111.80"</f>
        <v>10111.80</v>
      </c>
      <c r="H835" t="s">
        <v>611</v>
      </c>
    </row>
    <row r="836" spans="5:8" x14ac:dyDescent="0.2">
      <c r="F836" t="str">
        <f>"10111.9"</f>
        <v>10111.9</v>
      </c>
      <c r="H836" t="s">
        <v>612</v>
      </c>
    </row>
    <row r="837" spans="5:8" x14ac:dyDescent="0.2">
      <c r="G837" t="str">
        <f>"10111.90"</f>
        <v>10111.90</v>
      </c>
      <c r="H837" t="s">
        <v>612</v>
      </c>
    </row>
    <row r="838" spans="5:8" x14ac:dyDescent="0.2">
      <c r="E838" t="str">
        <f>"10112"</f>
        <v>10112</v>
      </c>
      <c r="H838" t="s">
        <v>613</v>
      </c>
    </row>
    <row r="839" spans="5:8" x14ac:dyDescent="0.2">
      <c r="F839" t="str">
        <f>"10112.1"</f>
        <v>10112.1</v>
      </c>
      <c r="H839" t="s">
        <v>614</v>
      </c>
    </row>
    <row r="840" spans="5:8" x14ac:dyDescent="0.2">
      <c r="G840" t="str">
        <f>"10112.11"</f>
        <v>10112.11</v>
      </c>
      <c r="H840" t="s">
        <v>615</v>
      </c>
    </row>
    <row r="841" spans="5:8" x14ac:dyDescent="0.2">
      <c r="G841" t="str">
        <f>"10112.12"</f>
        <v>10112.12</v>
      </c>
      <c r="H841" t="s">
        <v>616</v>
      </c>
    </row>
    <row r="842" spans="5:8" x14ac:dyDescent="0.2">
      <c r="G842" t="str">
        <f>"10112.13"</f>
        <v>10112.13</v>
      </c>
      <c r="H842" t="s">
        <v>617</v>
      </c>
    </row>
    <row r="843" spans="5:8" x14ac:dyDescent="0.2">
      <c r="G843" t="str">
        <f>"10112.19"</f>
        <v>10112.19</v>
      </c>
      <c r="H843" t="s">
        <v>618</v>
      </c>
    </row>
    <row r="844" spans="5:8" x14ac:dyDescent="0.2">
      <c r="F844" t="str">
        <f>"10112.2"</f>
        <v>10112.2</v>
      </c>
      <c r="H844" t="s">
        <v>619</v>
      </c>
    </row>
    <row r="845" spans="5:8" x14ac:dyDescent="0.2">
      <c r="G845" t="str">
        <f>"10112.21"</f>
        <v>10112.21</v>
      </c>
      <c r="H845" t="s">
        <v>620</v>
      </c>
    </row>
    <row r="846" spans="5:8" x14ac:dyDescent="0.2">
      <c r="G846" t="str">
        <f>"10112.22"</f>
        <v>10112.22</v>
      </c>
      <c r="H846" t="s">
        <v>621</v>
      </c>
    </row>
    <row r="847" spans="5:8" x14ac:dyDescent="0.2">
      <c r="G847" t="str">
        <f>"10112.23"</f>
        <v>10112.23</v>
      </c>
      <c r="H847" t="s">
        <v>622</v>
      </c>
    </row>
    <row r="848" spans="5:8" x14ac:dyDescent="0.2">
      <c r="G848" t="str">
        <f>"10112.29"</f>
        <v>10112.29</v>
      </c>
      <c r="H848" t="s">
        <v>623</v>
      </c>
    </row>
    <row r="849" spans="4:8" x14ac:dyDescent="0.2">
      <c r="F849" t="str">
        <f>"10112.9"</f>
        <v>10112.9</v>
      </c>
      <c r="H849" t="s">
        <v>624</v>
      </c>
    </row>
    <row r="850" spans="4:8" x14ac:dyDescent="0.2">
      <c r="G850" t="str">
        <f>"10112.90"</f>
        <v>10112.90</v>
      </c>
      <c r="H850" t="s">
        <v>624</v>
      </c>
    </row>
    <row r="851" spans="4:8" x14ac:dyDescent="0.2">
      <c r="D851" t="str">
        <f>"1012"</f>
        <v>1012</v>
      </c>
      <c r="H851" t="s">
        <v>625</v>
      </c>
    </row>
    <row r="852" spans="4:8" x14ac:dyDescent="0.2">
      <c r="E852" t="str">
        <f>"10120"</f>
        <v>10120</v>
      </c>
      <c r="H852" t="s">
        <v>625</v>
      </c>
    </row>
    <row r="853" spans="4:8" x14ac:dyDescent="0.2">
      <c r="F853" t="str">
        <f>"10120.1"</f>
        <v>10120.1</v>
      </c>
      <c r="H853" t="s">
        <v>626</v>
      </c>
    </row>
    <row r="854" spans="4:8" x14ac:dyDescent="0.2">
      <c r="G854" t="str">
        <f>"10120.11"</f>
        <v>10120.11</v>
      </c>
      <c r="H854" t="s">
        <v>627</v>
      </c>
    </row>
    <row r="855" spans="4:8" x14ac:dyDescent="0.2">
      <c r="G855" t="str">
        <f>"10120.12"</f>
        <v>10120.12</v>
      </c>
      <c r="H855" t="s">
        <v>628</v>
      </c>
    </row>
    <row r="856" spans="4:8" x14ac:dyDescent="0.2">
      <c r="G856" t="str">
        <f>"10120.13"</f>
        <v>10120.13</v>
      </c>
      <c r="H856" t="s">
        <v>629</v>
      </c>
    </row>
    <row r="857" spans="4:8" x14ac:dyDescent="0.2">
      <c r="G857" t="str">
        <f>"10120.14"</f>
        <v>10120.14</v>
      </c>
      <c r="H857" t="s">
        <v>630</v>
      </c>
    </row>
    <row r="858" spans="4:8" x14ac:dyDescent="0.2">
      <c r="F858" t="str">
        <f>"10120.2"</f>
        <v>10120.2</v>
      </c>
      <c r="H858" t="s">
        <v>631</v>
      </c>
    </row>
    <row r="859" spans="4:8" x14ac:dyDescent="0.2">
      <c r="G859" t="str">
        <f>"10120.21"</f>
        <v>10120.21</v>
      </c>
      <c r="H859" t="s">
        <v>632</v>
      </c>
    </row>
    <row r="860" spans="4:8" x14ac:dyDescent="0.2">
      <c r="G860" t="str">
        <f>"10120.22"</f>
        <v>10120.22</v>
      </c>
      <c r="H860" t="s">
        <v>633</v>
      </c>
    </row>
    <row r="861" spans="4:8" x14ac:dyDescent="0.2">
      <c r="G861" t="str">
        <f>"10120.23"</f>
        <v>10120.23</v>
      </c>
      <c r="H861" t="s">
        <v>634</v>
      </c>
    </row>
    <row r="862" spans="4:8" x14ac:dyDescent="0.2">
      <c r="G862" t="str">
        <f>"10120.24"</f>
        <v>10120.24</v>
      </c>
      <c r="H862" t="s">
        <v>635</v>
      </c>
    </row>
    <row r="863" spans="4:8" x14ac:dyDescent="0.2">
      <c r="F863" t="str">
        <f>"10120.3"</f>
        <v>10120.3</v>
      </c>
      <c r="H863" t="s">
        <v>636</v>
      </c>
    </row>
    <row r="864" spans="4:8" x14ac:dyDescent="0.2">
      <c r="G864" t="str">
        <f>"10120.30"</f>
        <v>10120.30</v>
      </c>
      <c r="H864" t="s">
        <v>636</v>
      </c>
    </row>
    <row r="865" spans="4:8" x14ac:dyDescent="0.2">
      <c r="F865" t="str">
        <f>"10120.4"</f>
        <v>10120.4</v>
      </c>
      <c r="H865" t="s">
        <v>637</v>
      </c>
    </row>
    <row r="866" spans="4:8" x14ac:dyDescent="0.2">
      <c r="G866" t="str">
        <f>"10120.40"</f>
        <v>10120.40</v>
      </c>
      <c r="H866" t="s">
        <v>637</v>
      </c>
    </row>
    <row r="867" spans="4:8" x14ac:dyDescent="0.2">
      <c r="F867" t="str">
        <f>"10120.5"</f>
        <v>10120.5</v>
      </c>
      <c r="H867" t="s">
        <v>638</v>
      </c>
    </row>
    <row r="868" spans="4:8" x14ac:dyDescent="0.2">
      <c r="G868" t="str">
        <f>"10120.50"</f>
        <v>10120.50</v>
      </c>
      <c r="H868" t="s">
        <v>638</v>
      </c>
    </row>
    <row r="869" spans="4:8" x14ac:dyDescent="0.2">
      <c r="F869" t="str">
        <f>"10120.9"</f>
        <v>10120.9</v>
      </c>
      <c r="H869" t="s">
        <v>639</v>
      </c>
    </row>
    <row r="870" spans="4:8" x14ac:dyDescent="0.2">
      <c r="G870" t="str">
        <f>"10120.90"</f>
        <v>10120.90</v>
      </c>
      <c r="H870" t="s">
        <v>639</v>
      </c>
    </row>
    <row r="871" spans="4:8" x14ac:dyDescent="0.2">
      <c r="D871" t="str">
        <f>"1013"</f>
        <v>1013</v>
      </c>
      <c r="H871" t="s">
        <v>640</v>
      </c>
    </row>
    <row r="872" spans="4:8" x14ac:dyDescent="0.2">
      <c r="E872" t="str">
        <f>"10131"</f>
        <v>10131</v>
      </c>
      <c r="H872" t="s">
        <v>641</v>
      </c>
    </row>
    <row r="873" spans="4:8" x14ac:dyDescent="0.2">
      <c r="F873" t="str">
        <f>"10131.1"</f>
        <v>10131.1</v>
      </c>
      <c r="H873" t="s">
        <v>642</v>
      </c>
    </row>
    <row r="874" spans="4:8" x14ac:dyDescent="0.2">
      <c r="G874" t="str">
        <f>"10131.11"</f>
        <v>10131.11</v>
      </c>
      <c r="H874" t="s">
        <v>643</v>
      </c>
    </row>
    <row r="875" spans="4:8" x14ac:dyDescent="0.2">
      <c r="G875" t="str">
        <f>"10131.12"</f>
        <v>10131.12</v>
      </c>
      <c r="H875" t="s">
        <v>644</v>
      </c>
    </row>
    <row r="876" spans="4:8" x14ac:dyDescent="0.2">
      <c r="G876" t="str">
        <f>"10131.19"</f>
        <v>10131.19</v>
      </c>
      <c r="H876" t="s">
        <v>645</v>
      </c>
    </row>
    <row r="877" spans="4:8" x14ac:dyDescent="0.2">
      <c r="F877" t="str">
        <f>"10131.9"</f>
        <v>10131.9</v>
      </c>
      <c r="H877" t="s">
        <v>646</v>
      </c>
    </row>
    <row r="878" spans="4:8" x14ac:dyDescent="0.2">
      <c r="G878" t="str">
        <f>"10131.90"</f>
        <v>10131.90</v>
      </c>
      <c r="H878" t="s">
        <v>646</v>
      </c>
    </row>
    <row r="879" spans="4:8" x14ac:dyDescent="0.2">
      <c r="E879" t="str">
        <f>"10132"</f>
        <v>10132</v>
      </c>
      <c r="H879" t="s">
        <v>647</v>
      </c>
    </row>
    <row r="880" spans="4:8" x14ac:dyDescent="0.2">
      <c r="F880" t="str">
        <f>"10132.1"</f>
        <v>10132.1</v>
      </c>
      <c r="H880" t="s">
        <v>648</v>
      </c>
    </row>
    <row r="881" spans="5:8" x14ac:dyDescent="0.2">
      <c r="G881" t="str">
        <f>"10132.10"</f>
        <v>10132.10</v>
      </c>
      <c r="H881" t="s">
        <v>648</v>
      </c>
    </row>
    <row r="882" spans="5:8" x14ac:dyDescent="0.2">
      <c r="F882" t="str">
        <f>"10132.9"</f>
        <v>10132.9</v>
      </c>
      <c r="H882" t="s">
        <v>649</v>
      </c>
    </row>
    <row r="883" spans="5:8" x14ac:dyDescent="0.2">
      <c r="G883" t="str">
        <f>"10132.90"</f>
        <v>10132.90</v>
      </c>
      <c r="H883" t="s">
        <v>649</v>
      </c>
    </row>
    <row r="884" spans="5:8" x14ac:dyDescent="0.2">
      <c r="E884" t="str">
        <f>"10133"</f>
        <v>10133</v>
      </c>
      <c r="H884" t="s">
        <v>650</v>
      </c>
    </row>
    <row r="885" spans="5:8" x14ac:dyDescent="0.2">
      <c r="F885" t="str">
        <f>"10133.1"</f>
        <v>10133.1</v>
      </c>
      <c r="H885" t="s">
        <v>650</v>
      </c>
    </row>
    <row r="886" spans="5:8" x14ac:dyDescent="0.2">
      <c r="G886" t="str">
        <f>"10133.10"</f>
        <v>10133.10</v>
      </c>
      <c r="H886" t="s">
        <v>650</v>
      </c>
    </row>
    <row r="887" spans="5:8" x14ac:dyDescent="0.2">
      <c r="F887" t="str">
        <f>"10133.9"</f>
        <v>10133.9</v>
      </c>
      <c r="H887" t="s">
        <v>651</v>
      </c>
    </row>
    <row r="888" spans="5:8" x14ac:dyDescent="0.2">
      <c r="G888" t="str">
        <f>"10133.90"</f>
        <v>10133.90</v>
      </c>
      <c r="H888" t="s">
        <v>651</v>
      </c>
    </row>
    <row r="889" spans="5:8" x14ac:dyDescent="0.2">
      <c r="E889" t="str">
        <f>"10134"</f>
        <v>10134</v>
      </c>
      <c r="H889" t="s">
        <v>652</v>
      </c>
    </row>
    <row r="890" spans="5:8" x14ac:dyDescent="0.2">
      <c r="F890" t="str">
        <f>"10134.1"</f>
        <v>10134.1</v>
      </c>
      <c r="H890" t="s">
        <v>653</v>
      </c>
    </row>
    <row r="891" spans="5:8" x14ac:dyDescent="0.2">
      <c r="G891" t="str">
        <f>"10134.11"</f>
        <v>10134.11</v>
      </c>
      <c r="H891" t="s">
        <v>654</v>
      </c>
    </row>
    <row r="892" spans="5:8" x14ac:dyDescent="0.2">
      <c r="G892" t="str">
        <f>"10134.12"</f>
        <v>10134.12</v>
      </c>
      <c r="H892" t="s">
        <v>655</v>
      </c>
    </row>
    <row r="893" spans="5:8" x14ac:dyDescent="0.2">
      <c r="G893" t="str">
        <f>"10134.13"</f>
        <v>10134.13</v>
      </c>
      <c r="H893" t="s">
        <v>656</v>
      </c>
    </row>
    <row r="894" spans="5:8" x14ac:dyDescent="0.2">
      <c r="F894" t="str">
        <f>"10134.2"</f>
        <v>10134.2</v>
      </c>
      <c r="H894" t="s">
        <v>657</v>
      </c>
    </row>
    <row r="895" spans="5:8" x14ac:dyDescent="0.2">
      <c r="G895" t="str">
        <f>"10134.20"</f>
        <v>10134.20</v>
      </c>
      <c r="H895" t="s">
        <v>657</v>
      </c>
    </row>
    <row r="896" spans="5:8" x14ac:dyDescent="0.2">
      <c r="F896" t="str">
        <f>"10134.3"</f>
        <v>10134.3</v>
      </c>
      <c r="H896" t="s">
        <v>658</v>
      </c>
    </row>
    <row r="897" spans="3:8" x14ac:dyDescent="0.2">
      <c r="G897" t="str">
        <f>"10134.30"</f>
        <v>10134.30</v>
      </c>
      <c r="H897" t="s">
        <v>658</v>
      </c>
    </row>
    <row r="898" spans="3:8" x14ac:dyDescent="0.2">
      <c r="F898" t="str">
        <f>"10134.4"</f>
        <v>10134.4</v>
      </c>
      <c r="H898" t="s">
        <v>659</v>
      </c>
    </row>
    <row r="899" spans="3:8" x14ac:dyDescent="0.2">
      <c r="G899" t="str">
        <f>"10134.41"</f>
        <v>10134.41</v>
      </c>
      <c r="H899" t="s">
        <v>660</v>
      </c>
    </row>
    <row r="900" spans="3:8" x14ac:dyDescent="0.2">
      <c r="G900" t="str">
        <f>"10134.42"</f>
        <v>10134.42</v>
      </c>
      <c r="H900" t="s">
        <v>661</v>
      </c>
    </row>
    <row r="901" spans="3:8" x14ac:dyDescent="0.2">
      <c r="G901" t="str">
        <f>"10134.49"</f>
        <v>10134.49</v>
      </c>
      <c r="H901" t="s">
        <v>662</v>
      </c>
    </row>
    <row r="902" spans="3:8" x14ac:dyDescent="0.2">
      <c r="F902" t="str">
        <f>"10134.5"</f>
        <v>10134.5</v>
      </c>
      <c r="H902" t="s">
        <v>663</v>
      </c>
    </row>
    <row r="903" spans="3:8" x14ac:dyDescent="0.2">
      <c r="G903" t="str">
        <f>"10134.50"</f>
        <v>10134.50</v>
      </c>
      <c r="H903" t="s">
        <v>663</v>
      </c>
    </row>
    <row r="904" spans="3:8" x14ac:dyDescent="0.2">
      <c r="F904" t="str">
        <f>"10134.9"</f>
        <v>10134.9</v>
      </c>
      <c r="H904" t="s">
        <v>664</v>
      </c>
    </row>
    <row r="905" spans="3:8" x14ac:dyDescent="0.2">
      <c r="G905" t="str">
        <f>"10134.90"</f>
        <v>10134.90</v>
      </c>
      <c r="H905" t="s">
        <v>664</v>
      </c>
    </row>
    <row r="906" spans="3:8" x14ac:dyDescent="0.2">
      <c r="E906" t="str">
        <f>"10139"</f>
        <v>10139</v>
      </c>
      <c r="H906" t="s">
        <v>665</v>
      </c>
    </row>
    <row r="907" spans="3:8" x14ac:dyDescent="0.2">
      <c r="F907" t="str">
        <f>"10139.1"</f>
        <v>10139.1</v>
      </c>
      <c r="H907" t="s">
        <v>666</v>
      </c>
    </row>
    <row r="908" spans="3:8" x14ac:dyDescent="0.2">
      <c r="G908" t="str">
        <f>"10139.10"</f>
        <v>10139.10</v>
      </c>
      <c r="H908" t="s">
        <v>666</v>
      </c>
    </row>
    <row r="909" spans="3:8" x14ac:dyDescent="0.2">
      <c r="F909" t="str">
        <f>"10139.9"</f>
        <v>10139.9</v>
      </c>
      <c r="H909" t="s">
        <v>667</v>
      </c>
    </row>
    <row r="910" spans="3:8" x14ac:dyDescent="0.2">
      <c r="G910" t="str">
        <f>"10139.90"</f>
        <v>10139.90</v>
      </c>
      <c r="H910" t="s">
        <v>667</v>
      </c>
    </row>
    <row r="911" spans="3:8" x14ac:dyDescent="0.2">
      <c r="C911" t="str">
        <f>"102"</f>
        <v>102</v>
      </c>
      <c r="H911" t="s">
        <v>668</v>
      </c>
    </row>
    <row r="912" spans="3:8" x14ac:dyDescent="0.2">
      <c r="D912" t="str">
        <f>"1021"</f>
        <v>1021</v>
      </c>
      <c r="H912" t="s">
        <v>669</v>
      </c>
    </row>
    <row r="913" spans="4:8" x14ac:dyDescent="0.2">
      <c r="E913" t="str">
        <f>"10211"</f>
        <v>10211</v>
      </c>
      <c r="H913" t="s">
        <v>670</v>
      </c>
    </row>
    <row r="914" spans="4:8" x14ac:dyDescent="0.2">
      <c r="F914" t="str">
        <f>"10211.1"</f>
        <v>10211.1</v>
      </c>
      <c r="H914" t="s">
        <v>671</v>
      </c>
    </row>
    <row r="915" spans="4:8" x14ac:dyDescent="0.2">
      <c r="G915" t="str">
        <f>"10211.11"</f>
        <v>10211.11</v>
      </c>
      <c r="H915" t="s">
        <v>672</v>
      </c>
    </row>
    <row r="916" spans="4:8" x14ac:dyDescent="0.2">
      <c r="G916" t="str">
        <f>"10211.12"</f>
        <v>10211.12</v>
      </c>
      <c r="H916" t="s">
        <v>673</v>
      </c>
    </row>
    <row r="917" spans="4:8" x14ac:dyDescent="0.2">
      <c r="G917" t="str">
        <f>"10211.13"</f>
        <v>10211.13</v>
      </c>
      <c r="H917" t="s">
        <v>674</v>
      </c>
    </row>
    <row r="918" spans="4:8" x14ac:dyDescent="0.2">
      <c r="G918" t="str">
        <f>"10211.14"</f>
        <v>10211.14</v>
      </c>
      <c r="H918" t="s">
        <v>675</v>
      </c>
    </row>
    <row r="919" spans="4:8" x14ac:dyDescent="0.2">
      <c r="F919" t="str">
        <f>"10211.9"</f>
        <v>10211.9</v>
      </c>
      <c r="H919" t="s">
        <v>676</v>
      </c>
    </row>
    <row r="920" spans="4:8" x14ac:dyDescent="0.2">
      <c r="G920" t="str">
        <f>"10211.90"</f>
        <v>10211.90</v>
      </c>
      <c r="H920" t="s">
        <v>676</v>
      </c>
    </row>
    <row r="921" spans="4:8" x14ac:dyDescent="0.2">
      <c r="E921" t="str">
        <f>"10212"</f>
        <v>10212</v>
      </c>
      <c r="H921" t="s">
        <v>677</v>
      </c>
    </row>
    <row r="922" spans="4:8" x14ac:dyDescent="0.2">
      <c r="F922" t="str">
        <f>"10212.1"</f>
        <v>10212.1</v>
      </c>
      <c r="H922" t="s">
        <v>677</v>
      </c>
    </row>
    <row r="923" spans="4:8" x14ac:dyDescent="0.2">
      <c r="G923" t="str">
        <f>"10212.11"</f>
        <v>10212.11</v>
      </c>
      <c r="H923" t="s">
        <v>678</v>
      </c>
    </row>
    <row r="924" spans="4:8" x14ac:dyDescent="0.2">
      <c r="G924" t="str">
        <f>"10212.12"</f>
        <v>10212.12</v>
      </c>
      <c r="H924" t="s">
        <v>679</v>
      </c>
    </row>
    <row r="925" spans="4:8" x14ac:dyDescent="0.2">
      <c r="G925" t="str">
        <f>"10212.13"</f>
        <v>10212.13</v>
      </c>
      <c r="H925" t="s">
        <v>680</v>
      </c>
    </row>
    <row r="926" spans="4:8" x14ac:dyDescent="0.2">
      <c r="F926" t="str">
        <f>"10212.9"</f>
        <v>10212.9</v>
      </c>
      <c r="H926" t="s">
        <v>681</v>
      </c>
    </row>
    <row r="927" spans="4:8" x14ac:dyDescent="0.2">
      <c r="G927" t="str">
        <f>"10212.90"</f>
        <v>10212.90</v>
      </c>
      <c r="H927" t="s">
        <v>681</v>
      </c>
    </row>
    <row r="928" spans="4:8" x14ac:dyDescent="0.2">
      <c r="D928" t="str">
        <f>"1022"</f>
        <v>1022</v>
      </c>
      <c r="H928" t="s">
        <v>682</v>
      </c>
    </row>
    <row r="929" spans="4:8" x14ac:dyDescent="0.2">
      <c r="E929" t="str">
        <f>"10221"</f>
        <v>10221</v>
      </c>
      <c r="H929" t="s">
        <v>683</v>
      </c>
    </row>
    <row r="930" spans="4:8" x14ac:dyDescent="0.2">
      <c r="F930" t="str">
        <f>"10221.1"</f>
        <v>10221.1</v>
      </c>
      <c r="H930" t="s">
        <v>684</v>
      </c>
    </row>
    <row r="931" spans="4:8" x14ac:dyDescent="0.2">
      <c r="G931" t="str">
        <f>"10221.10"</f>
        <v>10221.10</v>
      </c>
      <c r="H931" t="s">
        <v>684</v>
      </c>
    </row>
    <row r="932" spans="4:8" x14ac:dyDescent="0.2">
      <c r="F932" t="str">
        <f>"10221.9"</f>
        <v>10221.9</v>
      </c>
      <c r="H932" t="s">
        <v>685</v>
      </c>
    </row>
    <row r="933" spans="4:8" x14ac:dyDescent="0.2">
      <c r="G933" t="str">
        <f>"10221.90"</f>
        <v>10221.90</v>
      </c>
      <c r="H933" t="s">
        <v>685</v>
      </c>
    </row>
    <row r="934" spans="4:8" x14ac:dyDescent="0.2">
      <c r="E934" t="str">
        <f>"10222"</f>
        <v>10222</v>
      </c>
      <c r="H934" t="s">
        <v>686</v>
      </c>
    </row>
    <row r="935" spans="4:8" x14ac:dyDescent="0.2">
      <c r="F935" t="str">
        <f>"10222.1"</f>
        <v>10222.1</v>
      </c>
      <c r="H935" t="s">
        <v>686</v>
      </c>
    </row>
    <row r="936" spans="4:8" x14ac:dyDescent="0.2">
      <c r="G936" t="str">
        <f>"10222.11"</f>
        <v>10222.11</v>
      </c>
      <c r="H936" t="s">
        <v>687</v>
      </c>
    </row>
    <row r="937" spans="4:8" x14ac:dyDescent="0.2">
      <c r="G937" t="str">
        <f>"10222.12"</f>
        <v>10222.12</v>
      </c>
      <c r="H937" t="s">
        <v>688</v>
      </c>
    </row>
    <row r="938" spans="4:8" x14ac:dyDescent="0.2">
      <c r="F938" t="str">
        <f>"10222.9"</f>
        <v>10222.9</v>
      </c>
      <c r="H938" t="s">
        <v>689</v>
      </c>
    </row>
    <row r="939" spans="4:8" x14ac:dyDescent="0.2">
      <c r="G939" t="str">
        <f>"10222.90"</f>
        <v>10222.90</v>
      </c>
      <c r="H939" t="s">
        <v>689</v>
      </c>
    </row>
    <row r="940" spans="4:8" x14ac:dyDescent="0.2">
      <c r="D940" t="str">
        <f>"1029"</f>
        <v>1029</v>
      </c>
      <c r="H940" t="s">
        <v>690</v>
      </c>
    </row>
    <row r="941" spans="4:8" x14ac:dyDescent="0.2">
      <c r="E941" t="str">
        <f>"10291"</f>
        <v>10291</v>
      </c>
      <c r="H941" t="s">
        <v>691</v>
      </c>
    </row>
    <row r="942" spans="4:8" x14ac:dyDescent="0.2">
      <c r="F942" t="str">
        <f>"10291.1"</f>
        <v>10291.1</v>
      </c>
      <c r="H942" t="s">
        <v>692</v>
      </c>
    </row>
    <row r="943" spans="4:8" x14ac:dyDescent="0.2">
      <c r="G943" t="str">
        <f>"10291.11"</f>
        <v>10291.11</v>
      </c>
      <c r="H943" t="s">
        <v>693</v>
      </c>
    </row>
    <row r="944" spans="4:8" x14ac:dyDescent="0.2">
      <c r="G944" t="str">
        <f>"10291.12"</f>
        <v>10291.12</v>
      </c>
      <c r="H944" t="s">
        <v>694</v>
      </c>
    </row>
    <row r="945" spans="5:8" x14ac:dyDescent="0.2">
      <c r="G945" t="str">
        <f>"10291.13"</f>
        <v>10291.13</v>
      </c>
      <c r="H945" t="s">
        <v>695</v>
      </c>
    </row>
    <row r="946" spans="5:8" x14ac:dyDescent="0.2">
      <c r="G946" t="str">
        <f>"10291.14"</f>
        <v>10291.14</v>
      </c>
      <c r="H946" t="s">
        <v>696</v>
      </c>
    </row>
    <row r="947" spans="5:8" x14ac:dyDescent="0.2">
      <c r="F947" t="str">
        <f>"10291.2"</f>
        <v>10291.2</v>
      </c>
      <c r="H947" t="s">
        <v>697</v>
      </c>
    </row>
    <row r="948" spans="5:8" x14ac:dyDescent="0.2">
      <c r="G948" t="str">
        <f>"10291.21"</f>
        <v>10291.21</v>
      </c>
      <c r="H948" t="s">
        <v>698</v>
      </c>
    </row>
    <row r="949" spans="5:8" x14ac:dyDescent="0.2">
      <c r="G949" t="str">
        <f>"10291.22"</f>
        <v>10291.22</v>
      </c>
      <c r="H949" t="s">
        <v>699</v>
      </c>
    </row>
    <row r="950" spans="5:8" x14ac:dyDescent="0.2">
      <c r="G950" t="str">
        <f>"10291.23"</f>
        <v>10291.23</v>
      </c>
      <c r="H950" t="s">
        <v>700</v>
      </c>
    </row>
    <row r="951" spans="5:8" x14ac:dyDescent="0.2">
      <c r="F951" t="str">
        <f>"10291.9"</f>
        <v>10291.9</v>
      </c>
      <c r="H951" t="s">
        <v>701</v>
      </c>
    </row>
    <row r="952" spans="5:8" x14ac:dyDescent="0.2">
      <c r="G952" t="str">
        <f>"10291.90"</f>
        <v>10291.90</v>
      </c>
      <c r="H952" t="s">
        <v>701</v>
      </c>
    </row>
    <row r="953" spans="5:8" x14ac:dyDescent="0.2">
      <c r="E953" t="str">
        <f>"10292"</f>
        <v>10292</v>
      </c>
      <c r="H953" t="s">
        <v>702</v>
      </c>
    </row>
    <row r="954" spans="5:8" x14ac:dyDescent="0.2">
      <c r="F954" t="str">
        <f>"10292.1"</f>
        <v>10292.1</v>
      </c>
      <c r="H954" t="s">
        <v>703</v>
      </c>
    </row>
    <row r="955" spans="5:8" x14ac:dyDescent="0.2">
      <c r="G955" t="str">
        <f>"10292.11"</f>
        <v>10292.11</v>
      </c>
      <c r="H955" t="s">
        <v>704</v>
      </c>
    </row>
    <row r="956" spans="5:8" x14ac:dyDescent="0.2">
      <c r="G956" t="str">
        <f>"10292.12"</f>
        <v>10292.12</v>
      </c>
      <c r="H956" t="s">
        <v>705</v>
      </c>
    </row>
    <row r="957" spans="5:8" x14ac:dyDescent="0.2">
      <c r="F957" t="str">
        <f>"10292.2"</f>
        <v>10292.2</v>
      </c>
      <c r="H957" t="s">
        <v>706</v>
      </c>
    </row>
    <row r="958" spans="5:8" x14ac:dyDescent="0.2">
      <c r="G958" t="str">
        <f>"10292.21"</f>
        <v>10292.21</v>
      </c>
      <c r="H958" t="s">
        <v>707</v>
      </c>
    </row>
    <row r="959" spans="5:8" x14ac:dyDescent="0.2">
      <c r="G959" t="str">
        <f>"10292.22"</f>
        <v>10292.22</v>
      </c>
      <c r="H959" t="s">
        <v>708</v>
      </c>
    </row>
    <row r="960" spans="5:8" x14ac:dyDescent="0.2">
      <c r="F960" t="str">
        <f>"10292.9"</f>
        <v>10292.9</v>
      </c>
      <c r="H960" t="s">
        <v>709</v>
      </c>
    </row>
    <row r="961" spans="5:8" x14ac:dyDescent="0.2">
      <c r="G961" t="str">
        <f>"10292.90"</f>
        <v>10292.90</v>
      </c>
      <c r="H961" t="s">
        <v>709</v>
      </c>
    </row>
    <row r="962" spans="5:8" x14ac:dyDescent="0.2">
      <c r="E962" t="str">
        <f>"10293"</f>
        <v>10293</v>
      </c>
      <c r="H962" t="s">
        <v>710</v>
      </c>
    </row>
    <row r="963" spans="5:8" x14ac:dyDescent="0.2">
      <c r="F963" t="str">
        <f>"10293.1"</f>
        <v>10293.1</v>
      </c>
      <c r="H963" t="s">
        <v>711</v>
      </c>
    </row>
    <row r="964" spans="5:8" x14ac:dyDescent="0.2">
      <c r="G964" t="str">
        <f>"10293.11"</f>
        <v>10293.11</v>
      </c>
      <c r="H964" t="s">
        <v>712</v>
      </c>
    </row>
    <row r="965" spans="5:8" x14ac:dyDescent="0.2">
      <c r="G965" t="str">
        <f>"10293.12"</f>
        <v>10293.12</v>
      </c>
      <c r="H965" t="s">
        <v>713</v>
      </c>
    </row>
    <row r="966" spans="5:8" x14ac:dyDescent="0.2">
      <c r="F966" t="str">
        <f>"10293.2"</f>
        <v>10293.2</v>
      </c>
      <c r="H966" t="s">
        <v>714</v>
      </c>
    </row>
    <row r="967" spans="5:8" x14ac:dyDescent="0.2">
      <c r="G967" t="str">
        <f>"10293.21"</f>
        <v>10293.21</v>
      </c>
      <c r="H967" t="s">
        <v>715</v>
      </c>
    </row>
    <row r="968" spans="5:8" x14ac:dyDescent="0.2">
      <c r="G968" t="str">
        <f>"10293.22"</f>
        <v>10293.22</v>
      </c>
      <c r="H968" t="s">
        <v>716</v>
      </c>
    </row>
    <row r="969" spans="5:8" x14ac:dyDescent="0.2">
      <c r="G969" t="str">
        <f>"10293.23"</f>
        <v>10293.23</v>
      </c>
      <c r="H969" t="s">
        <v>717</v>
      </c>
    </row>
    <row r="970" spans="5:8" x14ac:dyDescent="0.2">
      <c r="F970" t="str">
        <f>"10293.9"</f>
        <v>10293.9</v>
      </c>
      <c r="H970" t="s">
        <v>718</v>
      </c>
    </row>
    <row r="971" spans="5:8" x14ac:dyDescent="0.2">
      <c r="G971" t="str">
        <f>"10293.90"</f>
        <v>10293.90</v>
      </c>
      <c r="H971" t="s">
        <v>718</v>
      </c>
    </row>
    <row r="972" spans="5:8" x14ac:dyDescent="0.2">
      <c r="E972" t="str">
        <f>"10294"</f>
        <v>10294</v>
      </c>
      <c r="H972" t="s">
        <v>719</v>
      </c>
    </row>
    <row r="973" spans="5:8" x14ac:dyDescent="0.2">
      <c r="F973" t="str">
        <f>"10294.1"</f>
        <v>10294.1</v>
      </c>
      <c r="H973" t="s">
        <v>720</v>
      </c>
    </row>
    <row r="974" spans="5:8" x14ac:dyDescent="0.2">
      <c r="G974" t="str">
        <f>"10294.10"</f>
        <v>10294.10</v>
      </c>
      <c r="H974" t="s">
        <v>720</v>
      </c>
    </row>
    <row r="975" spans="5:8" x14ac:dyDescent="0.2">
      <c r="F975" t="str">
        <f>"10294.9"</f>
        <v>10294.9</v>
      </c>
      <c r="H975" t="s">
        <v>721</v>
      </c>
    </row>
    <row r="976" spans="5:8" x14ac:dyDescent="0.2">
      <c r="G976" t="str">
        <f>"10294.90"</f>
        <v>10294.90</v>
      </c>
      <c r="H976" t="s">
        <v>721</v>
      </c>
    </row>
    <row r="977" spans="3:8" x14ac:dyDescent="0.2">
      <c r="E977" t="str">
        <f>"10295"</f>
        <v>10295</v>
      </c>
      <c r="H977" t="s">
        <v>722</v>
      </c>
    </row>
    <row r="978" spans="3:8" x14ac:dyDescent="0.2">
      <c r="F978" t="str">
        <f>"10295.0"</f>
        <v>10295.0</v>
      </c>
      <c r="H978" t="s">
        <v>722</v>
      </c>
    </row>
    <row r="979" spans="3:8" x14ac:dyDescent="0.2">
      <c r="G979" t="str">
        <f>"10295.00"</f>
        <v>10295.00</v>
      </c>
      <c r="H979" t="s">
        <v>722</v>
      </c>
    </row>
    <row r="980" spans="3:8" x14ac:dyDescent="0.2">
      <c r="E980" t="str">
        <f>"10299"</f>
        <v>10299</v>
      </c>
      <c r="H980" t="s">
        <v>723</v>
      </c>
    </row>
    <row r="981" spans="3:8" x14ac:dyDescent="0.2">
      <c r="F981" t="str">
        <f>"10299.1"</f>
        <v>10299.1</v>
      </c>
      <c r="H981" t="s">
        <v>723</v>
      </c>
    </row>
    <row r="982" spans="3:8" x14ac:dyDescent="0.2">
      <c r="G982" t="str">
        <f>"10299.11"</f>
        <v>10299.11</v>
      </c>
      <c r="H982" t="s">
        <v>724</v>
      </c>
    </row>
    <row r="983" spans="3:8" x14ac:dyDescent="0.2">
      <c r="G983" t="str">
        <f>"10299.12"</f>
        <v>10299.12</v>
      </c>
      <c r="H983" t="s">
        <v>725</v>
      </c>
    </row>
    <row r="984" spans="3:8" x14ac:dyDescent="0.2">
      <c r="G984" t="str">
        <f>"10299.13"</f>
        <v>10299.13</v>
      </c>
      <c r="H984" t="s">
        <v>726</v>
      </c>
    </row>
    <row r="985" spans="3:8" x14ac:dyDescent="0.2">
      <c r="F985" t="str">
        <f>"10299.9"</f>
        <v>10299.9</v>
      </c>
      <c r="H985" t="s">
        <v>727</v>
      </c>
    </row>
    <row r="986" spans="3:8" x14ac:dyDescent="0.2">
      <c r="G986" t="str">
        <f>"10299.90"</f>
        <v>10299.90</v>
      </c>
      <c r="H986" t="s">
        <v>727</v>
      </c>
    </row>
    <row r="987" spans="3:8" x14ac:dyDescent="0.2">
      <c r="C987" t="str">
        <f>"103"</f>
        <v>103</v>
      </c>
      <c r="H987" t="s">
        <v>728</v>
      </c>
    </row>
    <row r="988" spans="3:8" x14ac:dyDescent="0.2">
      <c r="D988" t="str">
        <f>"1030"</f>
        <v>1030</v>
      </c>
      <c r="H988" t="s">
        <v>728</v>
      </c>
    </row>
    <row r="989" spans="3:8" x14ac:dyDescent="0.2">
      <c r="E989" t="str">
        <f>"10301"</f>
        <v>10301</v>
      </c>
      <c r="H989" t="s">
        <v>729</v>
      </c>
    </row>
    <row r="990" spans="3:8" x14ac:dyDescent="0.2">
      <c r="F990" t="str">
        <f>"10301.1"</f>
        <v>10301.1</v>
      </c>
      <c r="H990" t="s">
        <v>730</v>
      </c>
    </row>
    <row r="991" spans="3:8" x14ac:dyDescent="0.2">
      <c r="G991" t="str">
        <f>"10301.10"</f>
        <v>10301.10</v>
      </c>
      <c r="H991" t="s">
        <v>730</v>
      </c>
    </row>
    <row r="992" spans="3:8" x14ac:dyDescent="0.2">
      <c r="F992" t="str">
        <f>"10301.2"</f>
        <v>10301.2</v>
      </c>
      <c r="H992" t="s">
        <v>731</v>
      </c>
    </row>
    <row r="993" spans="5:8" x14ac:dyDescent="0.2">
      <c r="G993" t="str">
        <f>"10301.20"</f>
        <v>10301.20</v>
      </c>
      <c r="H993" t="s">
        <v>731</v>
      </c>
    </row>
    <row r="994" spans="5:8" x14ac:dyDescent="0.2">
      <c r="F994" t="str">
        <f>"10301.3"</f>
        <v>10301.3</v>
      </c>
      <c r="H994" t="s">
        <v>732</v>
      </c>
    </row>
    <row r="995" spans="5:8" x14ac:dyDescent="0.2">
      <c r="G995" t="str">
        <f>"10301.30"</f>
        <v>10301.30</v>
      </c>
      <c r="H995" t="s">
        <v>732</v>
      </c>
    </row>
    <row r="996" spans="5:8" x14ac:dyDescent="0.2">
      <c r="F996" t="str">
        <f>"10301.9"</f>
        <v>10301.9</v>
      </c>
      <c r="H996" t="s">
        <v>733</v>
      </c>
    </row>
    <row r="997" spans="5:8" x14ac:dyDescent="0.2">
      <c r="G997" t="str">
        <f>"10301.90"</f>
        <v>10301.90</v>
      </c>
      <c r="H997" t="s">
        <v>733</v>
      </c>
    </row>
    <row r="998" spans="5:8" x14ac:dyDescent="0.2">
      <c r="E998" t="str">
        <f>"10302"</f>
        <v>10302</v>
      </c>
      <c r="H998" t="s">
        <v>734</v>
      </c>
    </row>
    <row r="999" spans="5:8" x14ac:dyDescent="0.2">
      <c r="F999" t="str">
        <f>"10302.1"</f>
        <v>10302.1</v>
      </c>
      <c r="H999" t="s">
        <v>735</v>
      </c>
    </row>
    <row r="1000" spans="5:8" x14ac:dyDescent="0.2">
      <c r="G1000" t="str">
        <f>"10302.11"</f>
        <v>10302.11</v>
      </c>
      <c r="H1000" t="s">
        <v>736</v>
      </c>
    </row>
    <row r="1001" spans="5:8" x14ac:dyDescent="0.2">
      <c r="G1001" t="str">
        <f>"10302.12"</f>
        <v>10302.12</v>
      </c>
      <c r="H1001" t="s">
        <v>737</v>
      </c>
    </row>
    <row r="1002" spans="5:8" x14ac:dyDescent="0.2">
      <c r="G1002" t="str">
        <f>"10302.13"</f>
        <v>10302.13</v>
      </c>
      <c r="H1002" t="s">
        <v>738</v>
      </c>
    </row>
    <row r="1003" spans="5:8" x14ac:dyDescent="0.2">
      <c r="G1003" t="str">
        <f>"10302.19"</f>
        <v>10302.19</v>
      </c>
      <c r="H1003" t="s">
        <v>739</v>
      </c>
    </row>
    <row r="1004" spans="5:8" x14ac:dyDescent="0.2">
      <c r="F1004" t="str">
        <f>"10302.2"</f>
        <v>10302.2</v>
      </c>
      <c r="H1004" t="s">
        <v>740</v>
      </c>
    </row>
    <row r="1005" spans="5:8" x14ac:dyDescent="0.2">
      <c r="G1005" t="str">
        <f>"10302.21"</f>
        <v>10302.21</v>
      </c>
      <c r="H1005" t="s">
        <v>741</v>
      </c>
    </row>
    <row r="1006" spans="5:8" x14ac:dyDescent="0.2">
      <c r="G1006" t="str">
        <f>"10302.22"</f>
        <v>10302.22</v>
      </c>
      <c r="H1006" t="s">
        <v>742</v>
      </c>
    </row>
    <row r="1007" spans="5:8" x14ac:dyDescent="0.2">
      <c r="G1007" t="str">
        <f>"10302.29"</f>
        <v>10302.29</v>
      </c>
      <c r="H1007" t="s">
        <v>743</v>
      </c>
    </row>
    <row r="1008" spans="5:8" x14ac:dyDescent="0.2">
      <c r="F1008" t="str">
        <f>"10302.3"</f>
        <v>10302.3</v>
      </c>
      <c r="H1008" t="s">
        <v>744</v>
      </c>
    </row>
    <row r="1009" spans="5:8" x14ac:dyDescent="0.2">
      <c r="G1009" t="str">
        <f>"10302.30"</f>
        <v>10302.30</v>
      </c>
      <c r="H1009" t="s">
        <v>744</v>
      </c>
    </row>
    <row r="1010" spans="5:8" x14ac:dyDescent="0.2">
      <c r="F1010" t="str">
        <f>"10302.9"</f>
        <v>10302.9</v>
      </c>
      <c r="H1010" t="s">
        <v>745</v>
      </c>
    </row>
    <row r="1011" spans="5:8" x14ac:dyDescent="0.2">
      <c r="G1011" t="str">
        <f>"10302.90"</f>
        <v>10302.90</v>
      </c>
      <c r="H1011" t="s">
        <v>745</v>
      </c>
    </row>
    <row r="1012" spans="5:8" x14ac:dyDescent="0.2">
      <c r="E1012" t="str">
        <f>"10303"</f>
        <v>10303</v>
      </c>
      <c r="H1012" t="s">
        <v>746</v>
      </c>
    </row>
    <row r="1013" spans="5:8" x14ac:dyDescent="0.2">
      <c r="F1013" t="str">
        <f>"10303.1"</f>
        <v>10303.1</v>
      </c>
      <c r="H1013" t="s">
        <v>747</v>
      </c>
    </row>
    <row r="1014" spans="5:8" x14ac:dyDescent="0.2">
      <c r="G1014" t="str">
        <f>"10303.11"</f>
        <v>10303.11</v>
      </c>
      <c r="H1014" t="s">
        <v>748</v>
      </c>
    </row>
    <row r="1015" spans="5:8" x14ac:dyDescent="0.2">
      <c r="G1015" t="str">
        <f>"10303.12"</f>
        <v>10303.12</v>
      </c>
      <c r="H1015" t="s">
        <v>749</v>
      </c>
    </row>
    <row r="1016" spans="5:8" x14ac:dyDescent="0.2">
      <c r="G1016" t="str">
        <f>"10303.19"</f>
        <v>10303.19</v>
      </c>
      <c r="H1016" t="s">
        <v>750</v>
      </c>
    </row>
    <row r="1017" spans="5:8" x14ac:dyDescent="0.2">
      <c r="F1017" t="str">
        <f>"10303.2"</f>
        <v>10303.2</v>
      </c>
      <c r="H1017" t="s">
        <v>751</v>
      </c>
    </row>
    <row r="1018" spans="5:8" x14ac:dyDescent="0.2">
      <c r="G1018" t="str">
        <f>"10303.21"</f>
        <v>10303.21</v>
      </c>
      <c r="H1018" t="s">
        <v>752</v>
      </c>
    </row>
    <row r="1019" spans="5:8" x14ac:dyDescent="0.2">
      <c r="G1019" t="str">
        <f>"10303.22"</f>
        <v>10303.22</v>
      </c>
      <c r="H1019" t="s">
        <v>753</v>
      </c>
    </row>
    <row r="1020" spans="5:8" x14ac:dyDescent="0.2">
      <c r="G1020" t="str">
        <f>"10303.23"</f>
        <v>10303.23</v>
      </c>
      <c r="H1020" t="s">
        <v>754</v>
      </c>
    </row>
    <row r="1021" spans="5:8" x14ac:dyDescent="0.2">
      <c r="G1021" t="str">
        <f>"10303.24"</f>
        <v>10303.24</v>
      </c>
      <c r="H1021" t="s">
        <v>755</v>
      </c>
    </row>
    <row r="1022" spans="5:8" x14ac:dyDescent="0.2">
      <c r="G1022" t="str">
        <f>"10303.25"</f>
        <v>10303.25</v>
      </c>
      <c r="H1022" t="s">
        <v>756</v>
      </c>
    </row>
    <row r="1023" spans="5:8" x14ac:dyDescent="0.2">
      <c r="G1023" t="str">
        <f>"10303.26"</f>
        <v>10303.26</v>
      </c>
      <c r="H1023" t="s">
        <v>757</v>
      </c>
    </row>
    <row r="1024" spans="5:8" x14ac:dyDescent="0.2">
      <c r="G1024" t="str">
        <f>"10303.29"</f>
        <v>10303.29</v>
      </c>
      <c r="H1024" t="s">
        <v>758</v>
      </c>
    </row>
    <row r="1025" spans="5:8" x14ac:dyDescent="0.2">
      <c r="F1025" t="str">
        <f>"10303.3"</f>
        <v>10303.3</v>
      </c>
      <c r="H1025" t="s">
        <v>759</v>
      </c>
    </row>
    <row r="1026" spans="5:8" x14ac:dyDescent="0.2">
      <c r="G1026" t="str">
        <f>"10303.30"</f>
        <v>10303.30</v>
      </c>
      <c r="H1026" t="s">
        <v>759</v>
      </c>
    </row>
    <row r="1027" spans="5:8" x14ac:dyDescent="0.2">
      <c r="F1027" t="str">
        <f>"10303.4"</f>
        <v>10303.4</v>
      </c>
      <c r="H1027" t="s">
        <v>760</v>
      </c>
    </row>
    <row r="1028" spans="5:8" x14ac:dyDescent="0.2">
      <c r="G1028" t="str">
        <f>"10303.40"</f>
        <v>10303.40</v>
      </c>
      <c r="H1028" t="s">
        <v>760</v>
      </c>
    </row>
    <row r="1029" spans="5:8" x14ac:dyDescent="0.2">
      <c r="F1029" t="str">
        <f>"10303.9"</f>
        <v>10303.9</v>
      </c>
      <c r="H1029" t="s">
        <v>761</v>
      </c>
    </row>
    <row r="1030" spans="5:8" x14ac:dyDescent="0.2">
      <c r="G1030" t="str">
        <f>"10303.90"</f>
        <v>10303.90</v>
      </c>
      <c r="H1030" t="s">
        <v>761</v>
      </c>
    </row>
    <row r="1031" spans="5:8" x14ac:dyDescent="0.2">
      <c r="E1031" t="str">
        <f>"10304"</f>
        <v>10304</v>
      </c>
      <c r="H1031" t="s">
        <v>762</v>
      </c>
    </row>
    <row r="1032" spans="5:8" x14ac:dyDescent="0.2">
      <c r="F1032" t="str">
        <f>"10304.1"</f>
        <v>10304.1</v>
      </c>
      <c r="H1032" t="s">
        <v>763</v>
      </c>
    </row>
    <row r="1033" spans="5:8" x14ac:dyDescent="0.2">
      <c r="G1033" t="str">
        <f>"10304.10"</f>
        <v>10304.10</v>
      </c>
      <c r="H1033" t="s">
        <v>763</v>
      </c>
    </row>
    <row r="1034" spans="5:8" x14ac:dyDescent="0.2">
      <c r="F1034" t="str">
        <f>"10304.2"</f>
        <v>10304.2</v>
      </c>
      <c r="H1034" t="s">
        <v>764</v>
      </c>
    </row>
    <row r="1035" spans="5:8" x14ac:dyDescent="0.2">
      <c r="G1035" t="str">
        <f>"10304.21"</f>
        <v>10304.21</v>
      </c>
      <c r="H1035" t="s">
        <v>765</v>
      </c>
    </row>
    <row r="1036" spans="5:8" x14ac:dyDescent="0.2">
      <c r="G1036" t="str">
        <f>"10304.22"</f>
        <v>10304.22</v>
      </c>
      <c r="H1036" t="s">
        <v>766</v>
      </c>
    </row>
    <row r="1037" spans="5:8" x14ac:dyDescent="0.2">
      <c r="F1037" t="str">
        <f>"10304.3"</f>
        <v>10304.3</v>
      </c>
      <c r="H1037" t="s">
        <v>767</v>
      </c>
    </row>
    <row r="1038" spans="5:8" x14ac:dyDescent="0.2">
      <c r="G1038" t="str">
        <f>"10304.30"</f>
        <v>10304.30</v>
      </c>
      <c r="H1038" t="s">
        <v>767</v>
      </c>
    </row>
    <row r="1039" spans="5:8" x14ac:dyDescent="0.2">
      <c r="F1039" t="str">
        <f>"10304.4"</f>
        <v>10304.4</v>
      </c>
      <c r="H1039" t="s">
        <v>768</v>
      </c>
    </row>
    <row r="1040" spans="5:8" x14ac:dyDescent="0.2">
      <c r="G1040" t="str">
        <f>"10304.41"</f>
        <v>10304.41</v>
      </c>
      <c r="H1040" t="s">
        <v>769</v>
      </c>
    </row>
    <row r="1041" spans="5:8" x14ac:dyDescent="0.2">
      <c r="G1041" t="str">
        <f>"10304.42"</f>
        <v>10304.42</v>
      </c>
      <c r="H1041" t="s">
        <v>770</v>
      </c>
    </row>
    <row r="1042" spans="5:8" x14ac:dyDescent="0.2">
      <c r="G1042" t="str">
        <f>"10304.49"</f>
        <v>10304.49</v>
      </c>
      <c r="H1042" t="s">
        <v>771</v>
      </c>
    </row>
    <row r="1043" spans="5:8" x14ac:dyDescent="0.2">
      <c r="F1043" t="str">
        <f>"10304.5"</f>
        <v>10304.5</v>
      </c>
      <c r="H1043" t="s">
        <v>772</v>
      </c>
    </row>
    <row r="1044" spans="5:8" x14ac:dyDescent="0.2">
      <c r="G1044" t="str">
        <f>"10304.50"</f>
        <v>10304.50</v>
      </c>
      <c r="H1044" t="s">
        <v>772</v>
      </c>
    </row>
    <row r="1045" spans="5:8" x14ac:dyDescent="0.2">
      <c r="F1045" t="str">
        <f>"10304.6"</f>
        <v>10304.6</v>
      </c>
      <c r="H1045" t="s">
        <v>773</v>
      </c>
    </row>
    <row r="1046" spans="5:8" x14ac:dyDescent="0.2">
      <c r="G1046" t="str">
        <f>"10304.61"</f>
        <v>10304.61</v>
      </c>
      <c r="H1046" t="s">
        <v>774</v>
      </c>
    </row>
    <row r="1047" spans="5:8" x14ac:dyDescent="0.2">
      <c r="G1047" t="str">
        <f>"10304.62"</f>
        <v>10304.62</v>
      </c>
      <c r="H1047" t="s">
        <v>775</v>
      </c>
    </row>
    <row r="1048" spans="5:8" x14ac:dyDescent="0.2">
      <c r="F1048" t="str">
        <f>"10304.7"</f>
        <v>10304.7</v>
      </c>
      <c r="H1048" t="s">
        <v>776</v>
      </c>
    </row>
    <row r="1049" spans="5:8" x14ac:dyDescent="0.2">
      <c r="G1049" t="str">
        <f>"10304.70"</f>
        <v>10304.70</v>
      </c>
      <c r="H1049" t="s">
        <v>776</v>
      </c>
    </row>
    <row r="1050" spans="5:8" x14ac:dyDescent="0.2">
      <c r="F1050" t="str">
        <f>"10304.9"</f>
        <v>10304.9</v>
      </c>
      <c r="H1050" t="s">
        <v>777</v>
      </c>
    </row>
    <row r="1051" spans="5:8" x14ac:dyDescent="0.2">
      <c r="G1051" t="str">
        <f>"10304.90"</f>
        <v>10304.90</v>
      </c>
      <c r="H1051" t="s">
        <v>777</v>
      </c>
    </row>
    <row r="1052" spans="5:8" x14ac:dyDescent="0.2">
      <c r="E1052" t="str">
        <f>"10305"</f>
        <v>10305</v>
      </c>
      <c r="H1052" t="s">
        <v>778</v>
      </c>
    </row>
    <row r="1053" spans="5:8" x14ac:dyDescent="0.2">
      <c r="F1053" t="str">
        <f>"10305.1"</f>
        <v>10305.1</v>
      </c>
      <c r="H1053" t="s">
        <v>779</v>
      </c>
    </row>
    <row r="1054" spans="5:8" x14ac:dyDescent="0.2">
      <c r="G1054" t="str">
        <f>"10305.10"</f>
        <v>10305.10</v>
      </c>
      <c r="H1054" t="s">
        <v>779</v>
      </c>
    </row>
    <row r="1055" spans="5:8" x14ac:dyDescent="0.2">
      <c r="F1055" t="str">
        <f>"10305.2"</f>
        <v>10305.2</v>
      </c>
      <c r="H1055" t="s">
        <v>780</v>
      </c>
    </row>
    <row r="1056" spans="5:8" x14ac:dyDescent="0.2">
      <c r="G1056" t="str">
        <f>"10305.20"</f>
        <v>10305.20</v>
      </c>
      <c r="H1056" t="s">
        <v>780</v>
      </c>
    </row>
    <row r="1057" spans="5:8" x14ac:dyDescent="0.2">
      <c r="F1057" t="str">
        <f>"10305.9"</f>
        <v>10305.9</v>
      </c>
      <c r="H1057" t="s">
        <v>781</v>
      </c>
    </row>
    <row r="1058" spans="5:8" x14ac:dyDescent="0.2">
      <c r="G1058" t="str">
        <f>"10305.90"</f>
        <v>10305.90</v>
      </c>
      <c r="H1058" t="s">
        <v>781</v>
      </c>
    </row>
    <row r="1059" spans="5:8" x14ac:dyDescent="0.2">
      <c r="E1059" t="str">
        <f>"10306"</f>
        <v>10306</v>
      </c>
      <c r="H1059" t="s">
        <v>782</v>
      </c>
    </row>
    <row r="1060" spans="5:8" x14ac:dyDescent="0.2">
      <c r="F1060" t="str">
        <f>"10306.1"</f>
        <v>10306.1</v>
      </c>
      <c r="H1060" t="s">
        <v>782</v>
      </c>
    </row>
    <row r="1061" spans="5:8" x14ac:dyDescent="0.2">
      <c r="G1061" t="str">
        <f>"10306.11"</f>
        <v>10306.11</v>
      </c>
      <c r="H1061" t="s">
        <v>783</v>
      </c>
    </row>
    <row r="1062" spans="5:8" x14ac:dyDescent="0.2">
      <c r="G1062" t="str">
        <f>"10306.12"</f>
        <v>10306.12</v>
      </c>
      <c r="H1062" t="s">
        <v>784</v>
      </c>
    </row>
    <row r="1063" spans="5:8" x14ac:dyDescent="0.2">
      <c r="G1063" t="str">
        <f>"10306.13"</f>
        <v>10306.13</v>
      </c>
      <c r="H1063" t="s">
        <v>785</v>
      </c>
    </row>
    <row r="1064" spans="5:8" x14ac:dyDescent="0.2">
      <c r="G1064" t="str">
        <f>"10306.14"</f>
        <v>10306.14</v>
      </c>
      <c r="H1064" t="s">
        <v>786</v>
      </c>
    </row>
    <row r="1065" spans="5:8" x14ac:dyDescent="0.2">
      <c r="G1065" t="str">
        <f>"10306.15"</f>
        <v>10306.15</v>
      </c>
      <c r="H1065" t="s">
        <v>787</v>
      </c>
    </row>
    <row r="1066" spans="5:8" x14ac:dyDescent="0.2">
      <c r="F1066" t="str">
        <f>"10306.9"</f>
        <v>10306.9</v>
      </c>
      <c r="H1066" t="s">
        <v>788</v>
      </c>
    </row>
    <row r="1067" spans="5:8" x14ac:dyDescent="0.2">
      <c r="G1067" t="str">
        <f>"10306.90"</f>
        <v>10306.90</v>
      </c>
      <c r="H1067" t="s">
        <v>788</v>
      </c>
    </row>
    <row r="1068" spans="5:8" x14ac:dyDescent="0.2">
      <c r="E1068" t="str">
        <f>"10307"</f>
        <v>10307</v>
      </c>
      <c r="H1068" t="s">
        <v>789</v>
      </c>
    </row>
    <row r="1069" spans="5:8" x14ac:dyDescent="0.2">
      <c r="F1069" t="str">
        <f>"10307.1"</f>
        <v>10307.1</v>
      </c>
      <c r="H1069" t="s">
        <v>789</v>
      </c>
    </row>
    <row r="1070" spans="5:8" x14ac:dyDescent="0.2">
      <c r="G1070" t="str">
        <f>"10307.11"</f>
        <v>10307.11</v>
      </c>
      <c r="H1070" t="s">
        <v>790</v>
      </c>
    </row>
    <row r="1071" spans="5:8" x14ac:dyDescent="0.2">
      <c r="G1071" t="str">
        <f>"10307.12"</f>
        <v>10307.12</v>
      </c>
      <c r="H1071" t="s">
        <v>791</v>
      </c>
    </row>
    <row r="1072" spans="5:8" x14ac:dyDescent="0.2">
      <c r="G1072" t="str">
        <f>"10307.13"</f>
        <v>10307.13</v>
      </c>
      <c r="H1072" t="s">
        <v>792</v>
      </c>
    </row>
    <row r="1073" spans="3:8" x14ac:dyDescent="0.2">
      <c r="F1073" t="str">
        <f>"10307.2"</f>
        <v>10307.2</v>
      </c>
      <c r="H1073" t="s">
        <v>793</v>
      </c>
    </row>
    <row r="1074" spans="3:8" x14ac:dyDescent="0.2">
      <c r="G1074" t="str">
        <f>"10307.20"</f>
        <v>10307.20</v>
      </c>
      <c r="H1074" t="s">
        <v>793</v>
      </c>
    </row>
    <row r="1075" spans="3:8" x14ac:dyDescent="0.2">
      <c r="F1075" t="str">
        <f>"10307.9"</f>
        <v>10307.9</v>
      </c>
      <c r="H1075" t="s">
        <v>794</v>
      </c>
    </row>
    <row r="1076" spans="3:8" x14ac:dyDescent="0.2">
      <c r="G1076" t="str">
        <f>"10307.90"</f>
        <v>10307.90</v>
      </c>
      <c r="H1076" t="s">
        <v>794</v>
      </c>
    </row>
    <row r="1077" spans="3:8" x14ac:dyDescent="0.2">
      <c r="E1077" t="str">
        <f>"10309"</f>
        <v>10309</v>
      </c>
      <c r="H1077" t="s">
        <v>795</v>
      </c>
    </row>
    <row r="1078" spans="3:8" x14ac:dyDescent="0.2">
      <c r="F1078" t="str">
        <f>"10309.1"</f>
        <v>10309.1</v>
      </c>
      <c r="H1078" t="s">
        <v>795</v>
      </c>
    </row>
    <row r="1079" spans="3:8" x14ac:dyDescent="0.2">
      <c r="G1079" t="str">
        <f>"10309.11"</f>
        <v>10309.11</v>
      </c>
      <c r="H1079" t="s">
        <v>796</v>
      </c>
    </row>
    <row r="1080" spans="3:8" x14ac:dyDescent="0.2">
      <c r="G1080" t="str">
        <f>"10309.12"</f>
        <v>10309.12</v>
      </c>
      <c r="H1080" t="s">
        <v>797</v>
      </c>
    </row>
    <row r="1081" spans="3:8" x14ac:dyDescent="0.2">
      <c r="G1081" t="str">
        <f>"10309.13"</f>
        <v>10309.13</v>
      </c>
      <c r="H1081" t="s">
        <v>798</v>
      </c>
    </row>
    <row r="1082" spans="3:8" x14ac:dyDescent="0.2">
      <c r="G1082" t="str">
        <f>"10309.19"</f>
        <v>10309.19</v>
      </c>
      <c r="H1082" t="s">
        <v>799</v>
      </c>
    </row>
    <row r="1083" spans="3:8" x14ac:dyDescent="0.2">
      <c r="F1083" t="str">
        <f>"10309.2"</f>
        <v>10309.2</v>
      </c>
      <c r="H1083" t="s">
        <v>800</v>
      </c>
    </row>
    <row r="1084" spans="3:8" x14ac:dyDescent="0.2">
      <c r="G1084" t="str">
        <f>"10309.20"</f>
        <v>10309.20</v>
      </c>
      <c r="H1084" t="s">
        <v>800</v>
      </c>
    </row>
    <row r="1085" spans="3:8" x14ac:dyDescent="0.2">
      <c r="F1085" t="str">
        <f>"10309.9"</f>
        <v>10309.9</v>
      </c>
      <c r="H1085" t="s">
        <v>801</v>
      </c>
    </row>
    <row r="1086" spans="3:8" x14ac:dyDescent="0.2">
      <c r="G1086" t="str">
        <f>"10309.90"</f>
        <v>10309.90</v>
      </c>
      <c r="H1086" t="s">
        <v>802</v>
      </c>
    </row>
    <row r="1087" spans="3:8" x14ac:dyDescent="0.2">
      <c r="C1087" t="str">
        <f>"104"</f>
        <v>104</v>
      </c>
      <c r="H1087" t="s">
        <v>803</v>
      </c>
    </row>
    <row r="1088" spans="3:8" x14ac:dyDescent="0.2">
      <c r="D1088" t="str">
        <f>"1041"</f>
        <v>1041</v>
      </c>
      <c r="H1088" t="s">
        <v>804</v>
      </c>
    </row>
    <row r="1089" spans="5:8" x14ac:dyDescent="0.2">
      <c r="E1089" t="str">
        <f>"10411"</f>
        <v>10411</v>
      </c>
      <c r="H1089" t="s">
        <v>805</v>
      </c>
    </row>
    <row r="1090" spans="5:8" x14ac:dyDescent="0.2">
      <c r="F1090" t="str">
        <f>"10411.1"</f>
        <v>10411.1</v>
      </c>
      <c r="H1090" t="s">
        <v>805</v>
      </c>
    </row>
    <row r="1091" spans="5:8" x14ac:dyDescent="0.2">
      <c r="G1091" t="str">
        <f>"10411.11"</f>
        <v>10411.11</v>
      </c>
      <c r="H1091" t="s">
        <v>806</v>
      </c>
    </row>
    <row r="1092" spans="5:8" x14ac:dyDescent="0.2">
      <c r="G1092" t="str">
        <f>"10411.12"</f>
        <v>10411.12</v>
      </c>
      <c r="H1092" t="s">
        <v>807</v>
      </c>
    </row>
    <row r="1093" spans="5:8" x14ac:dyDescent="0.2">
      <c r="G1093" t="str">
        <f>"10411.19"</f>
        <v>10411.19</v>
      </c>
      <c r="H1093" t="s">
        <v>808</v>
      </c>
    </row>
    <row r="1094" spans="5:8" x14ac:dyDescent="0.2">
      <c r="F1094" t="str">
        <f>"10411.2"</f>
        <v>10411.2</v>
      </c>
      <c r="H1094" t="s">
        <v>809</v>
      </c>
    </row>
    <row r="1095" spans="5:8" x14ac:dyDescent="0.2">
      <c r="G1095" t="str">
        <f>"10411.20"</f>
        <v>10411.20</v>
      </c>
      <c r="H1095" t="s">
        <v>809</v>
      </c>
    </row>
    <row r="1096" spans="5:8" x14ac:dyDescent="0.2">
      <c r="F1096" t="str">
        <f>"10411.9"</f>
        <v>10411.9</v>
      </c>
      <c r="H1096" t="s">
        <v>810</v>
      </c>
    </row>
    <row r="1097" spans="5:8" x14ac:dyDescent="0.2">
      <c r="G1097" t="str">
        <f>"10411.90"</f>
        <v>10411.90</v>
      </c>
      <c r="H1097" t="s">
        <v>810</v>
      </c>
    </row>
    <row r="1098" spans="5:8" x14ac:dyDescent="0.2">
      <c r="E1098" t="str">
        <f>"10412"</f>
        <v>10412</v>
      </c>
      <c r="H1098" t="s">
        <v>811</v>
      </c>
    </row>
    <row r="1099" spans="5:8" x14ac:dyDescent="0.2">
      <c r="F1099" t="str">
        <f>"10412.1"</f>
        <v>10412.1</v>
      </c>
      <c r="H1099" t="s">
        <v>811</v>
      </c>
    </row>
    <row r="1100" spans="5:8" x14ac:dyDescent="0.2">
      <c r="G1100" t="str">
        <f>"10412.11"</f>
        <v>10412.11</v>
      </c>
      <c r="H1100" t="s">
        <v>812</v>
      </c>
    </row>
    <row r="1101" spans="5:8" x14ac:dyDescent="0.2">
      <c r="G1101" t="str">
        <f>"10412.12"</f>
        <v>10412.12</v>
      </c>
      <c r="H1101" t="s">
        <v>813</v>
      </c>
    </row>
    <row r="1102" spans="5:8" x14ac:dyDescent="0.2">
      <c r="G1102" t="str">
        <f>"10412.19"</f>
        <v>10412.19</v>
      </c>
      <c r="H1102" t="s">
        <v>814</v>
      </c>
    </row>
    <row r="1103" spans="5:8" x14ac:dyDescent="0.2">
      <c r="F1103" t="str">
        <f>"10412.2"</f>
        <v>10412.2</v>
      </c>
      <c r="H1103" t="s">
        <v>815</v>
      </c>
    </row>
    <row r="1104" spans="5:8" x14ac:dyDescent="0.2">
      <c r="G1104" t="str">
        <f>"10412.20"</f>
        <v>10412.20</v>
      </c>
      <c r="H1104" t="s">
        <v>815</v>
      </c>
    </row>
    <row r="1105" spans="5:8" x14ac:dyDescent="0.2">
      <c r="F1105" t="str">
        <f>"10412.9"</f>
        <v>10412.9</v>
      </c>
      <c r="H1105" t="s">
        <v>816</v>
      </c>
    </row>
    <row r="1106" spans="5:8" x14ac:dyDescent="0.2">
      <c r="G1106" t="str">
        <f>"10412.90"</f>
        <v>10412.90</v>
      </c>
      <c r="H1106" t="s">
        <v>816</v>
      </c>
    </row>
    <row r="1107" spans="5:8" x14ac:dyDescent="0.2">
      <c r="E1107" t="str">
        <f>"10413"</f>
        <v>10413</v>
      </c>
      <c r="H1107" t="s">
        <v>817</v>
      </c>
    </row>
    <row r="1108" spans="5:8" x14ac:dyDescent="0.2">
      <c r="F1108" t="str">
        <f>"10413.1"</f>
        <v>10413.1</v>
      </c>
      <c r="H1108" t="s">
        <v>817</v>
      </c>
    </row>
    <row r="1109" spans="5:8" x14ac:dyDescent="0.2">
      <c r="G1109" t="str">
        <f>"10413.11"</f>
        <v>10413.11</v>
      </c>
      <c r="H1109" t="s">
        <v>818</v>
      </c>
    </row>
    <row r="1110" spans="5:8" x14ac:dyDescent="0.2">
      <c r="G1110" t="str">
        <f>"10413.12"</f>
        <v>10413.12</v>
      </c>
      <c r="H1110" t="s">
        <v>819</v>
      </c>
    </row>
    <row r="1111" spans="5:8" x14ac:dyDescent="0.2">
      <c r="G1111" t="str">
        <f>"10413.19"</f>
        <v>10413.19</v>
      </c>
      <c r="H1111" t="s">
        <v>820</v>
      </c>
    </row>
    <row r="1112" spans="5:8" x14ac:dyDescent="0.2">
      <c r="F1112" t="str">
        <f>"10413.2"</f>
        <v>10413.2</v>
      </c>
      <c r="H1112" t="s">
        <v>821</v>
      </c>
    </row>
    <row r="1113" spans="5:8" x14ac:dyDescent="0.2">
      <c r="G1113" t="str">
        <f>"10413.20"</f>
        <v>10413.20</v>
      </c>
      <c r="H1113" t="s">
        <v>821</v>
      </c>
    </row>
    <row r="1114" spans="5:8" x14ac:dyDescent="0.2">
      <c r="F1114" t="str">
        <f>"10413.9"</f>
        <v>10413.9</v>
      </c>
      <c r="H1114" t="s">
        <v>822</v>
      </c>
    </row>
    <row r="1115" spans="5:8" x14ac:dyDescent="0.2">
      <c r="G1115" t="str">
        <f>"10413.90"</f>
        <v>10413.90</v>
      </c>
      <c r="H1115" t="s">
        <v>822</v>
      </c>
    </row>
    <row r="1116" spans="5:8" x14ac:dyDescent="0.2">
      <c r="E1116" t="str">
        <f>"10414"</f>
        <v>10414</v>
      </c>
      <c r="H1116" t="s">
        <v>823</v>
      </c>
    </row>
    <row r="1117" spans="5:8" x14ac:dyDescent="0.2">
      <c r="F1117" t="str">
        <f>"10414.1"</f>
        <v>10414.1</v>
      </c>
      <c r="H1117" t="s">
        <v>823</v>
      </c>
    </row>
    <row r="1118" spans="5:8" x14ac:dyDescent="0.2">
      <c r="G1118" t="str">
        <f>"10414.11"</f>
        <v>10414.11</v>
      </c>
      <c r="H1118" t="s">
        <v>824</v>
      </c>
    </row>
    <row r="1119" spans="5:8" x14ac:dyDescent="0.2">
      <c r="G1119" t="str">
        <f>"10414.12"</f>
        <v>10414.12</v>
      </c>
      <c r="H1119" t="s">
        <v>825</v>
      </c>
    </row>
    <row r="1120" spans="5:8" x14ac:dyDescent="0.2">
      <c r="G1120" t="str">
        <f>"10414.19"</f>
        <v>10414.19</v>
      </c>
      <c r="H1120" t="s">
        <v>826</v>
      </c>
    </row>
    <row r="1121" spans="5:8" x14ac:dyDescent="0.2">
      <c r="F1121" t="str">
        <f>"10414.2"</f>
        <v>10414.2</v>
      </c>
      <c r="H1121" t="s">
        <v>827</v>
      </c>
    </row>
    <row r="1122" spans="5:8" x14ac:dyDescent="0.2">
      <c r="G1122" t="str">
        <f>"10414.20"</f>
        <v>10414.20</v>
      </c>
      <c r="H1122" t="s">
        <v>827</v>
      </c>
    </row>
    <row r="1123" spans="5:8" x14ac:dyDescent="0.2">
      <c r="F1123" t="str">
        <f>"10414.9"</f>
        <v>10414.9</v>
      </c>
      <c r="H1123" t="s">
        <v>828</v>
      </c>
    </row>
    <row r="1124" spans="5:8" x14ac:dyDescent="0.2">
      <c r="G1124" t="str">
        <f>"10414.90"</f>
        <v>10414.90</v>
      </c>
      <c r="H1124" t="s">
        <v>828</v>
      </c>
    </row>
    <row r="1125" spans="5:8" x14ac:dyDescent="0.2">
      <c r="E1125" t="str">
        <f>"10419"</f>
        <v>10419</v>
      </c>
      <c r="H1125" t="s">
        <v>829</v>
      </c>
    </row>
    <row r="1126" spans="5:8" x14ac:dyDescent="0.2">
      <c r="F1126" t="str">
        <f>"10419.1"</f>
        <v>10419.1</v>
      </c>
      <c r="H1126" t="s">
        <v>830</v>
      </c>
    </row>
    <row r="1127" spans="5:8" x14ac:dyDescent="0.2">
      <c r="G1127" t="str">
        <f>"10419.11"</f>
        <v>10419.11</v>
      </c>
      <c r="H1127" t="s">
        <v>831</v>
      </c>
    </row>
    <row r="1128" spans="5:8" x14ac:dyDescent="0.2">
      <c r="G1128" t="str">
        <f>"10419.12"</f>
        <v>10419.12</v>
      </c>
      <c r="H1128" t="s">
        <v>832</v>
      </c>
    </row>
    <row r="1129" spans="5:8" x14ac:dyDescent="0.2">
      <c r="G1129" t="str">
        <f>"10419.13"</f>
        <v>10419.13</v>
      </c>
      <c r="H1129" t="s">
        <v>833</v>
      </c>
    </row>
    <row r="1130" spans="5:8" x14ac:dyDescent="0.2">
      <c r="G1130" t="str">
        <f>"10419.14"</f>
        <v>10419.14</v>
      </c>
      <c r="H1130" t="s">
        <v>834</v>
      </c>
    </row>
    <row r="1131" spans="5:8" x14ac:dyDescent="0.2">
      <c r="G1131" t="str">
        <f>"10419.15"</f>
        <v>10419.15</v>
      </c>
      <c r="H1131" t="s">
        <v>835</v>
      </c>
    </row>
    <row r="1132" spans="5:8" x14ac:dyDescent="0.2">
      <c r="G1132" t="str">
        <f>"10419.19"</f>
        <v>10419.19</v>
      </c>
      <c r="H1132" t="s">
        <v>836</v>
      </c>
    </row>
    <row r="1133" spans="5:8" x14ac:dyDescent="0.2">
      <c r="F1133" t="str">
        <f>"10419.2"</f>
        <v>10419.2</v>
      </c>
      <c r="H1133" t="s">
        <v>837</v>
      </c>
    </row>
    <row r="1134" spans="5:8" x14ac:dyDescent="0.2">
      <c r="G1134" t="str">
        <f>"10419.21"</f>
        <v>10419.21</v>
      </c>
      <c r="H1134" t="s">
        <v>838</v>
      </c>
    </row>
    <row r="1135" spans="5:8" x14ac:dyDescent="0.2">
      <c r="G1135" t="str">
        <f>"10419.22"</f>
        <v>10419.22</v>
      </c>
      <c r="H1135" t="s">
        <v>839</v>
      </c>
    </row>
    <row r="1136" spans="5:8" x14ac:dyDescent="0.2">
      <c r="G1136" t="str">
        <f>"10419.23"</f>
        <v>10419.23</v>
      </c>
      <c r="H1136" t="s">
        <v>840</v>
      </c>
    </row>
    <row r="1137" spans="4:8" x14ac:dyDescent="0.2">
      <c r="G1137" t="str">
        <f>"10419.24"</f>
        <v>10419.24</v>
      </c>
      <c r="H1137" t="s">
        <v>841</v>
      </c>
    </row>
    <row r="1138" spans="4:8" x14ac:dyDescent="0.2">
      <c r="G1138" t="str">
        <f>"10419.25"</f>
        <v>10419.25</v>
      </c>
      <c r="H1138" t="s">
        <v>842</v>
      </c>
    </row>
    <row r="1139" spans="4:8" x14ac:dyDescent="0.2">
      <c r="G1139" t="str">
        <f>"10419.29"</f>
        <v>10419.29</v>
      </c>
      <c r="H1139" t="s">
        <v>843</v>
      </c>
    </row>
    <row r="1140" spans="4:8" x14ac:dyDescent="0.2">
      <c r="F1140" t="str">
        <f>"10419.3"</f>
        <v>10419.3</v>
      </c>
      <c r="H1140" t="s">
        <v>844</v>
      </c>
    </row>
    <row r="1141" spans="4:8" x14ac:dyDescent="0.2">
      <c r="G1141" t="str">
        <f>"10419.30"</f>
        <v>10419.30</v>
      </c>
      <c r="H1141" t="s">
        <v>844</v>
      </c>
    </row>
    <row r="1142" spans="4:8" x14ac:dyDescent="0.2">
      <c r="F1142" t="str">
        <f>"10419.4"</f>
        <v>10419.4</v>
      </c>
      <c r="H1142" t="s">
        <v>845</v>
      </c>
    </row>
    <row r="1143" spans="4:8" x14ac:dyDescent="0.2">
      <c r="G1143" t="str">
        <f>"10419.41"</f>
        <v>10419.41</v>
      </c>
      <c r="H1143" t="s">
        <v>846</v>
      </c>
    </row>
    <row r="1144" spans="4:8" x14ac:dyDescent="0.2">
      <c r="G1144" t="str">
        <f>"10419.42"</f>
        <v>10419.42</v>
      </c>
      <c r="H1144" t="s">
        <v>847</v>
      </c>
    </row>
    <row r="1145" spans="4:8" x14ac:dyDescent="0.2">
      <c r="F1145" t="str">
        <f>"10419.9"</f>
        <v>10419.9</v>
      </c>
      <c r="H1145" t="s">
        <v>848</v>
      </c>
    </row>
    <row r="1146" spans="4:8" x14ac:dyDescent="0.2">
      <c r="G1146" t="str">
        <f>"10419.90"</f>
        <v>10419.90</v>
      </c>
      <c r="H1146" t="s">
        <v>848</v>
      </c>
    </row>
    <row r="1147" spans="4:8" x14ac:dyDescent="0.2">
      <c r="D1147" t="str">
        <f>"1042"</f>
        <v>1042</v>
      </c>
      <c r="H1147" t="s">
        <v>849</v>
      </c>
    </row>
    <row r="1148" spans="4:8" x14ac:dyDescent="0.2">
      <c r="E1148" t="str">
        <f>"10420"</f>
        <v>10420</v>
      </c>
      <c r="H1148" t="s">
        <v>849</v>
      </c>
    </row>
    <row r="1149" spans="4:8" x14ac:dyDescent="0.2">
      <c r="F1149" t="str">
        <f>"10420.1"</f>
        <v>10420.1</v>
      </c>
      <c r="H1149" t="s">
        <v>849</v>
      </c>
    </row>
    <row r="1150" spans="4:8" x14ac:dyDescent="0.2">
      <c r="G1150" t="str">
        <f>"10420.11"</f>
        <v>10420.11</v>
      </c>
      <c r="H1150" t="s">
        <v>850</v>
      </c>
    </row>
    <row r="1151" spans="4:8" x14ac:dyDescent="0.2">
      <c r="G1151" t="str">
        <f>"10420.12"</f>
        <v>10420.12</v>
      </c>
      <c r="H1151" t="s">
        <v>851</v>
      </c>
    </row>
    <row r="1152" spans="4:8" x14ac:dyDescent="0.2">
      <c r="G1152" t="str">
        <f>"10420.13"</f>
        <v>10420.13</v>
      </c>
      <c r="H1152" t="s">
        <v>852</v>
      </c>
    </row>
    <row r="1153" spans="4:8" x14ac:dyDescent="0.2">
      <c r="F1153" t="str">
        <f>"10420.2"</f>
        <v>10420.2</v>
      </c>
      <c r="H1153" t="s">
        <v>853</v>
      </c>
    </row>
    <row r="1154" spans="4:8" x14ac:dyDescent="0.2">
      <c r="G1154" t="str">
        <f>"10420.20"</f>
        <v>10420.20</v>
      </c>
      <c r="H1154" t="s">
        <v>853</v>
      </c>
    </row>
    <row r="1155" spans="4:8" x14ac:dyDescent="0.2">
      <c r="F1155" t="str">
        <f>"10420.9"</f>
        <v>10420.9</v>
      </c>
      <c r="H1155" t="s">
        <v>854</v>
      </c>
    </row>
    <row r="1156" spans="4:8" x14ac:dyDescent="0.2">
      <c r="G1156" t="str">
        <f>"10420.90"</f>
        <v>10420.90</v>
      </c>
      <c r="H1156" t="s">
        <v>854</v>
      </c>
    </row>
    <row r="1157" spans="4:8" x14ac:dyDescent="0.2">
      <c r="D1157" t="str">
        <f>"1049"</f>
        <v>1049</v>
      </c>
      <c r="H1157" t="s">
        <v>855</v>
      </c>
    </row>
    <row r="1158" spans="4:8" x14ac:dyDescent="0.2">
      <c r="E1158" t="str">
        <f>"10491"</f>
        <v>10491</v>
      </c>
      <c r="H1158" t="s">
        <v>856</v>
      </c>
    </row>
    <row r="1159" spans="4:8" x14ac:dyDescent="0.2">
      <c r="F1159" t="str">
        <f>"10491.1"</f>
        <v>10491.1</v>
      </c>
      <c r="H1159" t="s">
        <v>857</v>
      </c>
    </row>
    <row r="1160" spans="4:8" x14ac:dyDescent="0.2">
      <c r="G1160" t="str">
        <f>"10491.11"</f>
        <v>10491.11</v>
      </c>
      <c r="H1160" t="s">
        <v>858</v>
      </c>
    </row>
    <row r="1161" spans="4:8" x14ac:dyDescent="0.2">
      <c r="G1161" t="str">
        <f>"10491.12"</f>
        <v>10491.12</v>
      </c>
      <c r="H1161" t="s">
        <v>859</v>
      </c>
    </row>
    <row r="1162" spans="4:8" x14ac:dyDescent="0.2">
      <c r="G1162" t="str">
        <f>"10491.13"</f>
        <v>10491.13</v>
      </c>
      <c r="H1162" t="s">
        <v>860</v>
      </c>
    </row>
    <row r="1163" spans="4:8" x14ac:dyDescent="0.2">
      <c r="G1163" t="str">
        <f>"10491.14"</f>
        <v>10491.14</v>
      </c>
      <c r="H1163" t="s">
        <v>861</v>
      </c>
    </row>
    <row r="1164" spans="4:8" x14ac:dyDescent="0.2">
      <c r="F1164" t="str">
        <f>"10491.2"</f>
        <v>10491.2</v>
      </c>
      <c r="H1164" t="s">
        <v>862</v>
      </c>
    </row>
    <row r="1165" spans="4:8" x14ac:dyDescent="0.2">
      <c r="G1165" t="str">
        <f>"10491.21"</f>
        <v>10491.21</v>
      </c>
      <c r="H1165" t="s">
        <v>863</v>
      </c>
    </row>
    <row r="1166" spans="4:8" x14ac:dyDescent="0.2">
      <c r="G1166" t="str">
        <f>"10491.22"</f>
        <v>10491.22</v>
      </c>
      <c r="H1166" t="s">
        <v>864</v>
      </c>
    </row>
    <row r="1167" spans="4:8" x14ac:dyDescent="0.2">
      <c r="G1167" t="str">
        <f>"10491.23"</f>
        <v>10491.23</v>
      </c>
      <c r="H1167" t="s">
        <v>865</v>
      </c>
    </row>
    <row r="1168" spans="4:8" x14ac:dyDescent="0.2">
      <c r="F1168" t="str">
        <f>"10491.9"</f>
        <v>10491.9</v>
      </c>
      <c r="H1168" t="s">
        <v>866</v>
      </c>
    </row>
    <row r="1169" spans="3:8" x14ac:dyDescent="0.2">
      <c r="G1169" t="str">
        <f>"10491.90"</f>
        <v>10491.90</v>
      </c>
      <c r="H1169" t="s">
        <v>866</v>
      </c>
    </row>
    <row r="1170" spans="3:8" x14ac:dyDescent="0.2">
      <c r="E1170" t="str">
        <f>"10499"</f>
        <v>10499</v>
      </c>
      <c r="H1170" t="s">
        <v>867</v>
      </c>
    </row>
    <row r="1171" spans="3:8" x14ac:dyDescent="0.2">
      <c r="F1171" t="str">
        <f>"10499.1"</f>
        <v>10499.1</v>
      </c>
      <c r="H1171" t="s">
        <v>868</v>
      </c>
    </row>
    <row r="1172" spans="3:8" x14ac:dyDescent="0.2">
      <c r="G1172" t="str">
        <f>"10499.10"</f>
        <v>10499.10</v>
      </c>
      <c r="H1172" t="s">
        <v>868</v>
      </c>
    </row>
    <row r="1173" spans="3:8" x14ac:dyDescent="0.2">
      <c r="F1173" t="str">
        <f>"10499.2"</f>
        <v>10499.2</v>
      </c>
      <c r="H1173" t="s">
        <v>869</v>
      </c>
    </row>
    <row r="1174" spans="3:8" x14ac:dyDescent="0.2">
      <c r="G1174" t="str">
        <f>"10499.20"</f>
        <v>10499.20</v>
      </c>
      <c r="H1174" t="s">
        <v>869</v>
      </c>
    </row>
    <row r="1175" spans="3:8" x14ac:dyDescent="0.2">
      <c r="F1175" t="str">
        <f>"10499.3"</f>
        <v>10499.3</v>
      </c>
      <c r="H1175" t="s">
        <v>870</v>
      </c>
    </row>
    <row r="1176" spans="3:8" x14ac:dyDescent="0.2">
      <c r="G1176" t="str">
        <f>"10499.31"</f>
        <v>10499.31</v>
      </c>
      <c r="H1176" t="s">
        <v>871</v>
      </c>
    </row>
    <row r="1177" spans="3:8" x14ac:dyDescent="0.2">
      <c r="G1177" t="str">
        <f>"10499.32"</f>
        <v>10499.32</v>
      </c>
      <c r="H1177" t="s">
        <v>872</v>
      </c>
    </row>
    <row r="1178" spans="3:8" x14ac:dyDescent="0.2">
      <c r="F1178" t="str">
        <f>"10499.9"</f>
        <v>10499.9</v>
      </c>
      <c r="H1178" t="s">
        <v>873</v>
      </c>
    </row>
    <row r="1179" spans="3:8" x14ac:dyDescent="0.2">
      <c r="G1179" t="str">
        <f>"10499.90"</f>
        <v>10499.90</v>
      </c>
      <c r="H1179" t="s">
        <v>873</v>
      </c>
    </row>
    <row r="1180" spans="3:8" x14ac:dyDescent="0.2">
      <c r="C1180" t="str">
        <f>"105"</f>
        <v>105</v>
      </c>
      <c r="H1180" t="s">
        <v>874</v>
      </c>
    </row>
    <row r="1181" spans="3:8" x14ac:dyDescent="0.2">
      <c r="D1181" t="str">
        <f>"1050"</f>
        <v>1050</v>
      </c>
      <c r="H1181" t="s">
        <v>874</v>
      </c>
    </row>
    <row r="1182" spans="3:8" x14ac:dyDescent="0.2">
      <c r="E1182" t="str">
        <f>"10501"</f>
        <v>10501</v>
      </c>
      <c r="H1182" t="s">
        <v>875</v>
      </c>
    </row>
    <row r="1183" spans="3:8" x14ac:dyDescent="0.2">
      <c r="F1183" t="str">
        <f>"10501.1"</f>
        <v>10501.1</v>
      </c>
      <c r="H1183" t="s">
        <v>875</v>
      </c>
    </row>
    <row r="1184" spans="3:8" x14ac:dyDescent="0.2">
      <c r="G1184" t="str">
        <f>"10501.10"</f>
        <v>10501.10</v>
      </c>
      <c r="H1184" t="s">
        <v>875</v>
      </c>
    </row>
    <row r="1185" spans="5:8" x14ac:dyDescent="0.2">
      <c r="F1185" t="str">
        <f>"10501.9"</f>
        <v>10501.9</v>
      </c>
      <c r="H1185" t="s">
        <v>876</v>
      </c>
    </row>
    <row r="1186" spans="5:8" x14ac:dyDescent="0.2">
      <c r="G1186" t="str">
        <f>"10501.90"</f>
        <v>10501.90</v>
      </c>
      <c r="H1186" t="s">
        <v>876</v>
      </c>
    </row>
    <row r="1187" spans="5:8" x14ac:dyDescent="0.2">
      <c r="E1187" t="str">
        <f>"10502"</f>
        <v>10502</v>
      </c>
      <c r="H1187" t="s">
        <v>877</v>
      </c>
    </row>
    <row r="1188" spans="5:8" x14ac:dyDescent="0.2">
      <c r="F1188" t="str">
        <f>"10502.1"</f>
        <v>10502.1</v>
      </c>
      <c r="H1188" t="s">
        <v>878</v>
      </c>
    </row>
    <row r="1189" spans="5:8" x14ac:dyDescent="0.2">
      <c r="G1189" t="str">
        <f>"10502.11"</f>
        <v>10502.11</v>
      </c>
      <c r="H1189" t="s">
        <v>879</v>
      </c>
    </row>
    <row r="1190" spans="5:8" x14ac:dyDescent="0.2">
      <c r="G1190" t="str">
        <f>"10502.12"</f>
        <v>10502.12</v>
      </c>
      <c r="H1190" t="s">
        <v>880</v>
      </c>
    </row>
    <row r="1191" spans="5:8" x14ac:dyDescent="0.2">
      <c r="F1191" t="str">
        <f>"10502.2"</f>
        <v>10502.2</v>
      </c>
      <c r="H1191" t="s">
        <v>881</v>
      </c>
    </row>
    <row r="1192" spans="5:8" x14ac:dyDescent="0.2">
      <c r="G1192" t="str">
        <f>"10502.21"</f>
        <v>10502.21</v>
      </c>
      <c r="H1192" t="s">
        <v>882</v>
      </c>
    </row>
    <row r="1193" spans="5:8" x14ac:dyDescent="0.2">
      <c r="G1193" t="str">
        <f>"10502.22"</f>
        <v>10502.22</v>
      </c>
      <c r="H1193" t="s">
        <v>883</v>
      </c>
    </row>
    <row r="1194" spans="5:8" x14ac:dyDescent="0.2">
      <c r="G1194" t="str">
        <f>"10502.29"</f>
        <v>10502.29</v>
      </c>
      <c r="H1194" t="s">
        <v>884</v>
      </c>
    </row>
    <row r="1195" spans="5:8" x14ac:dyDescent="0.2">
      <c r="F1195" t="str">
        <f>"10502.9"</f>
        <v>10502.9</v>
      </c>
      <c r="H1195" t="s">
        <v>885</v>
      </c>
    </row>
    <row r="1196" spans="5:8" x14ac:dyDescent="0.2">
      <c r="G1196" t="str">
        <f>"10502.90"</f>
        <v>10502.90</v>
      </c>
      <c r="H1196" t="s">
        <v>885</v>
      </c>
    </row>
    <row r="1197" spans="5:8" x14ac:dyDescent="0.2">
      <c r="E1197" t="str">
        <f>"10503"</f>
        <v>10503</v>
      </c>
      <c r="H1197" t="s">
        <v>886</v>
      </c>
    </row>
    <row r="1198" spans="5:8" x14ac:dyDescent="0.2">
      <c r="F1198" t="str">
        <f>"10503.1"</f>
        <v>10503.1</v>
      </c>
      <c r="H1198" t="s">
        <v>886</v>
      </c>
    </row>
    <row r="1199" spans="5:8" x14ac:dyDescent="0.2">
      <c r="G1199" t="str">
        <f>"10503.10"</f>
        <v>10503.10</v>
      </c>
      <c r="H1199" t="s">
        <v>886</v>
      </c>
    </row>
    <row r="1200" spans="5:8" x14ac:dyDescent="0.2">
      <c r="F1200" t="str">
        <f>"10503.9"</f>
        <v>10503.9</v>
      </c>
      <c r="H1200" t="s">
        <v>887</v>
      </c>
    </row>
    <row r="1201" spans="5:8" x14ac:dyDescent="0.2">
      <c r="G1201" t="str">
        <f>"10503.90"</f>
        <v>10503.90</v>
      </c>
      <c r="H1201" t="s">
        <v>887</v>
      </c>
    </row>
    <row r="1202" spans="5:8" x14ac:dyDescent="0.2">
      <c r="E1202" t="str">
        <f>"10504"</f>
        <v>10504</v>
      </c>
      <c r="H1202" t="s">
        <v>888</v>
      </c>
    </row>
    <row r="1203" spans="5:8" x14ac:dyDescent="0.2">
      <c r="F1203" t="str">
        <f>"10504.1"</f>
        <v>10504.1</v>
      </c>
      <c r="H1203" t="s">
        <v>888</v>
      </c>
    </row>
    <row r="1204" spans="5:8" x14ac:dyDescent="0.2">
      <c r="G1204" t="str">
        <f>"10504.10"</f>
        <v>10504.10</v>
      </c>
      <c r="H1204" t="s">
        <v>888</v>
      </c>
    </row>
    <row r="1205" spans="5:8" x14ac:dyDescent="0.2">
      <c r="F1205" t="str">
        <f>"10504.9"</f>
        <v>10504.9</v>
      </c>
      <c r="H1205" t="s">
        <v>889</v>
      </c>
    </row>
    <row r="1206" spans="5:8" x14ac:dyDescent="0.2">
      <c r="G1206" t="str">
        <f>"10504.90"</f>
        <v>10504.90</v>
      </c>
      <c r="H1206" t="s">
        <v>889</v>
      </c>
    </row>
    <row r="1207" spans="5:8" x14ac:dyDescent="0.2">
      <c r="E1207" t="str">
        <f>"10505"</f>
        <v>10505</v>
      </c>
      <c r="H1207" t="s">
        <v>890</v>
      </c>
    </row>
    <row r="1208" spans="5:8" x14ac:dyDescent="0.2">
      <c r="F1208" t="str">
        <f>"10505.1"</f>
        <v>10505.1</v>
      </c>
      <c r="H1208" t="s">
        <v>890</v>
      </c>
    </row>
    <row r="1209" spans="5:8" x14ac:dyDescent="0.2">
      <c r="G1209" t="str">
        <f>"10505.11"</f>
        <v>10505.11</v>
      </c>
      <c r="H1209" t="s">
        <v>891</v>
      </c>
    </row>
    <row r="1210" spans="5:8" x14ac:dyDescent="0.2">
      <c r="G1210" t="str">
        <f>"10505.12"</f>
        <v>10505.12</v>
      </c>
      <c r="H1210" t="s">
        <v>892</v>
      </c>
    </row>
    <row r="1211" spans="5:8" x14ac:dyDescent="0.2">
      <c r="F1211" t="str">
        <f>"10505.9"</f>
        <v>10505.9</v>
      </c>
      <c r="H1211" t="s">
        <v>893</v>
      </c>
    </row>
    <row r="1212" spans="5:8" x14ac:dyDescent="0.2">
      <c r="G1212" t="str">
        <f>"10505.90"</f>
        <v>10505.90</v>
      </c>
      <c r="H1212" t="s">
        <v>893</v>
      </c>
    </row>
    <row r="1213" spans="5:8" x14ac:dyDescent="0.2">
      <c r="E1213" t="str">
        <f>"10509"</f>
        <v>10509</v>
      </c>
      <c r="H1213" t="s">
        <v>894</v>
      </c>
    </row>
    <row r="1214" spans="5:8" x14ac:dyDescent="0.2">
      <c r="F1214" t="str">
        <f>"10509.1"</f>
        <v>10509.1</v>
      </c>
      <c r="H1214" t="s">
        <v>895</v>
      </c>
    </row>
    <row r="1215" spans="5:8" x14ac:dyDescent="0.2">
      <c r="G1215" t="str">
        <f>"10509.10"</f>
        <v>10509.10</v>
      </c>
      <c r="H1215" t="s">
        <v>895</v>
      </c>
    </row>
    <row r="1216" spans="5:8" x14ac:dyDescent="0.2">
      <c r="F1216" t="str">
        <f>"10509.2"</f>
        <v>10509.2</v>
      </c>
      <c r="H1216" t="s">
        <v>896</v>
      </c>
    </row>
    <row r="1217" spans="3:8" x14ac:dyDescent="0.2">
      <c r="G1217" t="str">
        <f>"10509.21"</f>
        <v>10509.21</v>
      </c>
      <c r="H1217" t="s">
        <v>897</v>
      </c>
    </row>
    <row r="1218" spans="3:8" x14ac:dyDescent="0.2">
      <c r="G1218" t="str">
        <f>"10509.22"</f>
        <v>10509.22</v>
      </c>
      <c r="H1218" t="s">
        <v>898</v>
      </c>
    </row>
    <row r="1219" spans="3:8" x14ac:dyDescent="0.2">
      <c r="G1219" t="str">
        <f>"10509.23"</f>
        <v>10509.23</v>
      </c>
      <c r="H1219" t="s">
        <v>899</v>
      </c>
    </row>
    <row r="1220" spans="3:8" x14ac:dyDescent="0.2">
      <c r="G1220" t="str">
        <f>"10509.29"</f>
        <v>10509.29</v>
      </c>
      <c r="H1220" t="s">
        <v>896</v>
      </c>
    </row>
    <row r="1221" spans="3:8" x14ac:dyDescent="0.2">
      <c r="F1221" t="str">
        <f>"10509.9"</f>
        <v>10509.9</v>
      </c>
      <c r="H1221" t="s">
        <v>900</v>
      </c>
    </row>
    <row r="1222" spans="3:8" x14ac:dyDescent="0.2">
      <c r="G1222" t="str">
        <f>"10509.90"</f>
        <v>10509.90</v>
      </c>
      <c r="H1222" t="s">
        <v>900</v>
      </c>
    </row>
    <row r="1223" spans="3:8" x14ac:dyDescent="0.2">
      <c r="C1223" t="str">
        <f>"106"</f>
        <v>106</v>
      </c>
      <c r="H1223" t="s">
        <v>901</v>
      </c>
    </row>
    <row r="1224" spans="3:8" x14ac:dyDescent="0.2">
      <c r="D1224" t="str">
        <f>"1061"</f>
        <v>1061</v>
      </c>
      <c r="H1224" t="s">
        <v>902</v>
      </c>
    </row>
    <row r="1225" spans="3:8" x14ac:dyDescent="0.2">
      <c r="E1225" t="str">
        <f>"10611"</f>
        <v>10611</v>
      </c>
      <c r="H1225" t="s">
        <v>903</v>
      </c>
    </row>
    <row r="1226" spans="3:8" x14ac:dyDescent="0.2">
      <c r="F1226" t="str">
        <f>"10611.1"</f>
        <v>10611.1</v>
      </c>
      <c r="H1226" t="s">
        <v>903</v>
      </c>
    </row>
    <row r="1227" spans="3:8" x14ac:dyDescent="0.2">
      <c r="G1227" t="str">
        <f>"10611.11"</f>
        <v>10611.11</v>
      </c>
      <c r="H1227" t="s">
        <v>904</v>
      </c>
    </row>
    <row r="1228" spans="3:8" x14ac:dyDescent="0.2">
      <c r="G1228" t="str">
        <f>"10611.11"</f>
        <v>10611.11</v>
      </c>
      <c r="H1228" t="s">
        <v>904</v>
      </c>
    </row>
    <row r="1229" spans="3:8" x14ac:dyDescent="0.2">
      <c r="G1229" t="str">
        <f>"10611.12"</f>
        <v>10611.12</v>
      </c>
      <c r="H1229" t="s">
        <v>905</v>
      </c>
    </row>
    <row r="1230" spans="3:8" x14ac:dyDescent="0.2">
      <c r="G1230" t="str">
        <f>"10611.13"</f>
        <v>10611.13</v>
      </c>
      <c r="H1230" t="s">
        <v>906</v>
      </c>
    </row>
    <row r="1231" spans="3:8" x14ac:dyDescent="0.2">
      <c r="F1231" t="str">
        <f>"10611.2"</f>
        <v>10611.2</v>
      </c>
      <c r="H1231" t="s">
        <v>907</v>
      </c>
    </row>
    <row r="1232" spans="3:8" x14ac:dyDescent="0.2">
      <c r="G1232" t="str">
        <f>"10611.20"</f>
        <v>10611.20</v>
      </c>
      <c r="H1232" t="s">
        <v>907</v>
      </c>
    </row>
    <row r="1233" spans="5:8" x14ac:dyDescent="0.2">
      <c r="F1233" t="str">
        <f>"10611.9"</f>
        <v>10611.9</v>
      </c>
      <c r="H1233" t="s">
        <v>908</v>
      </c>
    </row>
    <row r="1234" spans="5:8" x14ac:dyDescent="0.2">
      <c r="G1234" t="str">
        <f>"10611.90"</f>
        <v>10611.90</v>
      </c>
      <c r="H1234" t="s">
        <v>908</v>
      </c>
    </row>
    <row r="1235" spans="5:8" x14ac:dyDescent="0.2">
      <c r="E1235" t="str">
        <f>"10612"</f>
        <v>10612</v>
      </c>
      <c r="H1235" t="s">
        <v>909</v>
      </c>
    </row>
    <row r="1236" spans="5:8" x14ac:dyDescent="0.2">
      <c r="F1236" t="str">
        <f>"10612.1"</f>
        <v>10612.1</v>
      </c>
      <c r="H1236" t="s">
        <v>909</v>
      </c>
    </row>
    <row r="1237" spans="5:8" x14ac:dyDescent="0.2">
      <c r="G1237" t="str">
        <f>"10612.11"</f>
        <v>10612.11</v>
      </c>
      <c r="H1237" t="s">
        <v>910</v>
      </c>
    </row>
    <row r="1238" spans="5:8" x14ac:dyDescent="0.2">
      <c r="G1238" t="str">
        <f>"10612.12"</f>
        <v>10612.12</v>
      </c>
      <c r="H1238" t="s">
        <v>911</v>
      </c>
    </row>
    <row r="1239" spans="5:8" x14ac:dyDescent="0.2">
      <c r="F1239" t="str">
        <f>"10612.9"</f>
        <v>10612.9</v>
      </c>
      <c r="H1239" t="s">
        <v>912</v>
      </c>
    </row>
    <row r="1240" spans="5:8" x14ac:dyDescent="0.2">
      <c r="G1240" t="str">
        <f>"10612.90"</f>
        <v>10612.90</v>
      </c>
      <c r="H1240" t="s">
        <v>912</v>
      </c>
    </row>
    <row r="1241" spans="5:8" x14ac:dyDescent="0.2">
      <c r="E1241" t="str">
        <f>"10613"</f>
        <v>10613</v>
      </c>
      <c r="H1241" t="s">
        <v>913</v>
      </c>
    </row>
    <row r="1242" spans="5:8" x14ac:dyDescent="0.2">
      <c r="F1242" t="str">
        <f>"10613.1"</f>
        <v>10613.1</v>
      </c>
      <c r="H1242" t="s">
        <v>913</v>
      </c>
    </row>
    <row r="1243" spans="5:8" x14ac:dyDescent="0.2">
      <c r="G1243" t="str">
        <f>"10613.11"</f>
        <v>10613.11</v>
      </c>
      <c r="H1243" t="s">
        <v>914</v>
      </c>
    </row>
    <row r="1244" spans="5:8" x14ac:dyDescent="0.2">
      <c r="G1244" t="str">
        <f>"10613.12"</f>
        <v>10613.12</v>
      </c>
      <c r="H1244" t="s">
        <v>915</v>
      </c>
    </row>
    <row r="1245" spans="5:8" x14ac:dyDescent="0.2">
      <c r="F1245" t="str">
        <f>"10613.2"</f>
        <v>10613.2</v>
      </c>
      <c r="H1245" t="s">
        <v>916</v>
      </c>
    </row>
    <row r="1246" spans="5:8" x14ac:dyDescent="0.2">
      <c r="G1246" t="str">
        <f>"10613.20"</f>
        <v>10613.20</v>
      </c>
      <c r="H1246" t="s">
        <v>916</v>
      </c>
    </row>
    <row r="1247" spans="5:8" x14ac:dyDescent="0.2">
      <c r="F1247" t="str">
        <f>"10613.9"</f>
        <v>10613.9</v>
      </c>
      <c r="H1247" t="s">
        <v>917</v>
      </c>
    </row>
    <row r="1248" spans="5:8" x14ac:dyDescent="0.2">
      <c r="G1248" t="str">
        <f>"10613.90"</f>
        <v>10613.90</v>
      </c>
      <c r="H1248" t="s">
        <v>917</v>
      </c>
    </row>
    <row r="1249" spans="5:8" x14ac:dyDescent="0.2">
      <c r="E1249" t="str">
        <f>"10614"</f>
        <v>10614</v>
      </c>
      <c r="H1249" t="s">
        <v>918</v>
      </c>
    </row>
    <row r="1250" spans="5:8" x14ac:dyDescent="0.2">
      <c r="F1250" t="str">
        <f>"10614.1"</f>
        <v>10614.1</v>
      </c>
      <c r="H1250" t="s">
        <v>918</v>
      </c>
    </row>
    <row r="1251" spans="5:8" x14ac:dyDescent="0.2">
      <c r="G1251" t="str">
        <f>"10614.11"</f>
        <v>10614.11</v>
      </c>
      <c r="H1251" t="s">
        <v>919</v>
      </c>
    </row>
    <row r="1252" spans="5:8" x14ac:dyDescent="0.2">
      <c r="G1252" t="str">
        <f>"10614.12"</f>
        <v>10614.12</v>
      </c>
      <c r="H1252" t="s">
        <v>920</v>
      </c>
    </row>
    <row r="1253" spans="5:8" x14ac:dyDescent="0.2">
      <c r="F1253" t="str">
        <f>"10614.2"</f>
        <v>10614.2</v>
      </c>
      <c r="H1253" t="s">
        <v>921</v>
      </c>
    </row>
    <row r="1254" spans="5:8" x14ac:dyDescent="0.2">
      <c r="G1254" t="str">
        <f>"10614.20"</f>
        <v>10614.20</v>
      </c>
      <c r="H1254" t="s">
        <v>921</v>
      </c>
    </row>
    <row r="1255" spans="5:8" x14ac:dyDescent="0.2">
      <c r="F1255" t="str">
        <f>"10614.9"</f>
        <v>10614.9</v>
      </c>
      <c r="H1255" t="s">
        <v>922</v>
      </c>
    </row>
    <row r="1256" spans="5:8" x14ac:dyDescent="0.2">
      <c r="G1256" t="str">
        <f>"10614.90"</f>
        <v>10614.90</v>
      </c>
      <c r="H1256" t="s">
        <v>922</v>
      </c>
    </row>
    <row r="1257" spans="5:8" x14ac:dyDescent="0.2">
      <c r="E1257" t="str">
        <f>"10615"</f>
        <v>10615</v>
      </c>
      <c r="H1257" t="s">
        <v>923</v>
      </c>
    </row>
    <row r="1258" spans="5:8" x14ac:dyDescent="0.2">
      <c r="F1258" t="str">
        <f>"10615.1"</f>
        <v>10615.1</v>
      </c>
      <c r="H1258" t="s">
        <v>923</v>
      </c>
    </row>
    <row r="1259" spans="5:8" x14ac:dyDescent="0.2">
      <c r="G1259" t="str">
        <f>"10615.11"</f>
        <v>10615.11</v>
      </c>
      <c r="H1259" t="s">
        <v>924</v>
      </c>
    </row>
    <row r="1260" spans="5:8" x14ac:dyDescent="0.2">
      <c r="G1260" t="str">
        <f>"10615.12"</f>
        <v>10615.12</v>
      </c>
      <c r="H1260" t="s">
        <v>925</v>
      </c>
    </row>
    <row r="1261" spans="5:8" x14ac:dyDescent="0.2">
      <c r="G1261" t="str">
        <f>"10615.13"</f>
        <v>10615.13</v>
      </c>
      <c r="H1261" t="s">
        <v>926</v>
      </c>
    </row>
    <row r="1262" spans="5:8" x14ac:dyDescent="0.2">
      <c r="F1262" t="str">
        <f>"10615.2"</f>
        <v>10615.2</v>
      </c>
      <c r="H1262" t="s">
        <v>927</v>
      </c>
    </row>
    <row r="1263" spans="5:8" x14ac:dyDescent="0.2">
      <c r="G1263" t="str">
        <f>"10615.20"</f>
        <v>10615.20</v>
      </c>
      <c r="H1263" t="s">
        <v>927</v>
      </c>
    </row>
    <row r="1264" spans="5:8" x14ac:dyDescent="0.2">
      <c r="F1264" t="str">
        <f>"10615.9"</f>
        <v>10615.9</v>
      </c>
      <c r="H1264" t="s">
        <v>928</v>
      </c>
    </row>
    <row r="1265" spans="5:8" x14ac:dyDescent="0.2">
      <c r="G1265" t="str">
        <f>"10615.90"</f>
        <v>10615.90</v>
      </c>
      <c r="H1265" t="s">
        <v>928</v>
      </c>
    </row>
    <row r="1266" spans="5:8" x14ac:dyDescent="0.2">
      <c r="E1266" t="str">
        <f>"10616"</f>
        <v>10616</v>
      </c>
      <c r="H1266" t="s">
        <v>929</v>
      </c>
    </row>
    <row r="1267" spans="5:8" x14ac:dyDescent="0.2">
      <c r="F1267" t="str">
        <f>"10616.1"</f>
        <v>10616.1</v>
      </c>
      <c r="H1267" t="s">
        <v>930</v>
      </c>
    </row>
    <row r="1268" spans="5:8" x14ac:dyDescent="0.2">
      <c r="G1268" t="str">
        <f>"10616.10"</f>
        <v>10616.10</v>
      </c>
      <c r="H1268" t="s">
        <v>930</v>
      </c>
    </row>
    <row r="1269" spans="5:8" x14ac:dyDescent="0.2">
      <c r="F1269" t="str">
        <f>"10616.9"</f>
        <v>10616.9</v>
      </c>
      <c r="H1269" t="s">
        <v>931</v>
      </c>
    </row>
    <row r="1270" spans="5:8" x14ac:dyDescent="0.2">
      <c r="G1270" t="str">
        <f>"10616.90"</f>
        <v>10616.90</v>
      </c>
      <c r="H1270" t="s">
        <v>931</v>
      </c>
    </row>
    <row r="1271" spans="5:8" x14ac:dyDescent="0.2">
      <c r="E1271" t="str">
        <f>"10617"</f>
        <v>10617</v>
      </c>
      <c r="H1271" t="s">
        <v>932</v>
      </c>
    </row>
    <row r="1272" spans="5:8" x14ac:dyDescent="0.2">
      <c r="F1272" t="str">
        <f>"10617.1"</f>
        <v>10617.1</v>
      </c>
      <c r="H1272" t="s">
        <v>932</v>
      </c>
    </row>
    <row r="1273" spans="5:8" x14ac:dyDescent="0.2">
      <c r="G1273" t="str">
        <f>"10617.10"</f>
        <v>10617.10</v>
      </c>
      <c r="H1273" t="s">
        <v>932</v>
      </c>
    </row>
    <row r="1274" spans="5:8" x14ac:dyDescent="0.2">
      <c r="F1274" t="str">
        <f>"10617.9"</f>
        <v>10617.9</v>
      </c>
      <c r="H1274" t="s">
        <v>933</v>
      </c>
    </row>
    <row r="1275" spans="5:8" x14ac:dyDescent="0.2">
      <c r="G1275" t="str">
        <f>"10617.90"</f>
        <v>10617.90</v>
      </c>
      <c r="H1275" t="s">
        <v>933</v>
      </c>
    </row>
    <row r="1276" spans="5:8" x14ac:dyDescent="0.2">
      <c r="E1276" t="str">
        <f>"10619"</f>
        <v>10619</v>
      </c>
      <c r="H1276" t="s">
        <v>934</v>
      </c>
    </row>
    <row r="1277" spans="5:8" x14ac:dyDescent="0.2">
      <c r="F1277" t="str">
        <f>"10619.1"</f>
        <v>10619.1</v>
      </c>
      <c r="H1277" t="s">
        <v>934</v>
      </c>
    </row>
    <row r="1278" spans="5:8" x14ac:dyDescent="0.2">
      <c r="G1278" t="str">
        <f>"10619.11"</f>
        <v>10619.11</v>
      </c>
      <c r="H1278" t="s">
        <v>935</v>
      </c>
    </row>
    <row r="1279" spans="5:8" x14ac:dyDescent="0.2">
      <c r="G1279" t="str">
        <f>"10619.12"</f>
        <v>10619.12</v>
      </c>
      <c r="H1279" t="s">
        <v>936</v>
      </c>
    </row>
    <row r="1280" spans="5:8" x14ac:dyDescent="0.2">
      <c r="G1280" t="str">
        <f>"10619.19"</f>
        <v>10619.19</v>
      </c>
      <c r="H1280" t="s">
        <v>937</v>
      </c>
    </row>
    <row r="1281" spans="4:8" x14ac:dyDescent="0.2">
      <c r="F1281" t="str">
        <f>"10619.9"</f>
        <v>10619.9</v>
      </c>
      <c r="H1281" t="s">
        <v>938</v>
      </c>
    </row>
    <row r="1282" spans="4:8" x14ac:dyDescent="0.2">
      <c r="G1282" t="str">
        <f>"10619.90"</f>
        <v>10619.90</v>
      </c>
      <c r="H1282" t="s">
        <v>938</v>
      </c>
    </row>
    <row r="1283" spans="4:8" x14ac:dyDescent="0.2">
      <c r="D1283" t="str">
        <f>"1062"</f>
        <v>1062</v>
      </c>
      <c r="H1283" t="s">
        <v>939</v>
      </c>
    </row>
    <row r="1284" spans="4:8" x14ac:dyDescent="0.2">
      <c r="E1284" t="str">
        <f>"10621"</f>
        <v>10621</v>
      </c>
      <c r="H1284" t="s">
        <v>940</v>
      </c>
    </row>
    <row r="1285" spans="4:8" x14ac:dyDescent="0.2">
      <c r="F1285" t="str">
        <f>"10621.1"</f>
        <v>10621.1</v>
      </c>
      <c r="H1285" t="s">
        <v>941</v>
      </c>
    </row>
    <row r="1286" spans="4:8" x14ac:dyDescent="0.2">
      <c r="G1286" t="str">
        <f>"10621.10"</f>
        <v>10621.10</v>
      </c>
      <c r="H1286" t="s">
        <v>941</v>
      </c>
    </row>
    <row r="1287" spans="4:8" x14ac:dyDescent="0.2">
      <c r="F1287" t="str">
        <f>"10621.9"</f>
        <v>10621.9</v>
      </c>
      <c r="H1287" t="s">
        <v>942</v>
      </c>
    </row>
    <row r="1288" spans="4:8" x14ac:dyDescent="0.2">
      <c r="G1288" t="str">
        <f>"10621.90"</f>
        <v>10621.90</v>
      </c>
      <c r="H1288" t="s">
        <v>942</v>
      </c>
    </row>
    <row r="1289" spans="4:8" x14ac:dyDescent="0.2">
      <c r="E1289" t="str">
        <f>"10622"</f>
        <v>10622</v>
      </c>
      <c r="H1289" t="s">
        <v>943</v>
      </c>
    </row>
    <row r="1290" spans="4:8" x14ac:dyDescent="0.2">
      <c r="F1290" t="str">
        <f>"10622.1"</f>
        <v>10622.1</v>
      </c>
      <c r="H1290" t="s">
        <v>943</v>
      </c>
    </row>
    <row r="1291" spans="4:8" x14ac:dyDescent="0.2">
      <c r="G1291" t="str">
        <f>"10622.10"</f>
        <v>10622.10</v>
      </c>
      <c r="H1291" t="s">
        <v>943</v>
      </c>
    </row>
    <row r="1292" spans="4:8" x14ac:dyDescent="0.2">
      <c r="F1292" t="str">
        <f>"10622.2"</f>
        <v>10622.2</v>
      </c>
      <c r="H1292" t="s">
        <v>944</v>
      </c>
    </row>
    <row r="1293" spans="4:8" x14ac:dyDescent="0.2">
      <c r="G1293" t="str">
        <f>"10622.20"</f>
        <v>10622.20</v>
      </c>
      <c r="H1293" t="s">
        <v>944</v>
      </c>
    </row>
    <row r="1294" spans="4:8" x14ac:dyDescent="0.2">
      <c r="F1294" t="str">
        <f>"10622.9"</f>
        <v>10622.9</v>
      </c>
      <c r="H1294" t="s">
        <v>945</v>
      </c>
    </row>
    <row r="1295" spans="4:8" x14ac:dyDescent="0.2">
      <c r="G1295" t="str">
        <f>"10622.90"</f>
        <v>10622.90</v>
      </c>
      <c r="H1295" t="s">
        <v>945</v>
      </c>
    </row>
    <row r="1296" spans="4:8" x14ac:dyDescent="0.2">
      <c r="E1296" t="str">
        <f>"10623"</f>
        <v>10623</v>
      </c>
      <c r="H1296" t="s">
        <v>946</v>
      </c>
    </row>
    <row r="1297" spans="3:8" x14ac:dyDescent="0.2">
      <c r="F1297" t="str">
        <f>"10623.1"</f>
        <v>10623.1</v>
      </c>
      <c r="H1297" t="s">
        <v>947</v>
      </c>
    </row>
    <row r="1298" spans="3:8" x14ac:dyDescent="0.2">
      <c r="G1298" t="str">
        <f>"10623.10"</f>
        <v>10623.10</v>
      </c>
      <c r="H1298" t="s">
        <v>947</v>
      </c>
    </row>
    <row r="1299" spans="3:8" x14ac:dyDescent="0.2">
      <c r="F1299" t="str">
        <f>"10623.2"</f>
        <v>10623.2</v>
      </c>
      <c r="H1299" t="s">
        <v>948</v>
      </c>
    </row>
    <row r="1300" spans="3:8" x14ac:dyDescent="0.2">
      <c r="G1300" t="str">
        <f>"10623.20"</f>
        <v>10623.20</v>
      </c>
      <c r="H1300" t="s">
        <v>948</v>
      </c>
    </row>
    <row r="1301" spans="3:8" x14ac:dyDescent="0.2">
      <c r="F1301" t="str">
        <f>"10623.9"</f>
        <v>10623.9</v>
      </c>
      <c r="H1301" t="s">
        <v>949</v>
      </c>
    </row>
    <row r="1302" spans="3:8" x14ac:dyDescent="0.2">
      <c r="G1302" t="str">
        <f>"10623.90"</f>
        <v>10623.90</v>
      </c>
      <c r="H1302" t="s">
        <v>949</v>
      </c>
    </row>
    <row r="1303" spans="3:8" x14ac:dyDescent="0.2">
      <c r="E1303" t="str">
        <f>"10629"</f>
        <v>10629</v>
      </c>
      <c r="H1303" t="s">
        <v>950</v>
      </c>
    </row>
    <row r="1304" spans="3:8" x14ac:dyDescent="0.2">
      <c r="F1304" t="str">
        <f>"10629.1"</f>
        <v>10629.1</v>
      </c>
      <c r="H1304" t="s">
        <v>951</v>
      </c>
    </row>
    <row r="1305" spans="3:8" x14ac:dyDescent="0.2">
      <c r="G1305" t="str">
        <f>"10629.11"</f>
        <v>10629.11</v>
      </c>
      <c r="H1305" t="s">
        <v>952</v>
      </c>
    </row>
    <row r="1306" spans="3:8" x14ac:dyDescent="0.2">
      <c r="G1306" t="str">
        <f>"10629.12"</f>
        <v>10629.12</v>
      </c>
      <c r="H1306" t="s">
        <v>953</v>
      </c>
    </row>
    <row r="1307" spans="3:8" x14ac:dyDescent="0.2">
      <c r="G1307" t="str">
        <f>"10629.13"</f>
        <v>10629.13</v>
      </c>
      <c r="H1307" t="s">
        <v>954</v>
      </c>
    </row>
    <row r="1308" spans="3:8" x14ac:dyDescent="0.2">
      <c r="F1308" t="str">
        <f>"10629.9"</f>
        <v>10629.9</v>
      </c>
      <c r="H1308" t="s">
        <v>955</v>
      </c>
    </row>
    <row r="1309" spans="3:8" x14ac:dyDescent="0.2">
      <c r="G1309" t="str">
        <f>"10629.90"</f>
        <v>10629.90</v>
      </c>
      <c r="H1309" t="s">
        <v>955</v>
      </c>
    </row>
    <row r="1310" spans="3:8" x14ac:dyDescent="0.2">
      <c r="C1310" t="str">
        <f>"107"</f>
        <v>107</v>
      </c>
      <c r="H1310" t="s">
        <v>956</v>
      </c>
    </row>
    <row r="1311" spans="3:8" x14ac:dyDescent="0.2">
      <c r="D1311" t="str">
        <f>"1071"</f>
        <v>1071</v>
      </c>
      <c r="H1311" t="s">
        <v>957</v>
      </c>
    </row>
    <row r="1312" spans="3:8" x14ac:dyDescent="0.2">
      <c r="E1312" t="str">
        <f>"10711"</f>
        <v>10711</v>
      </c>
      <c r="H1312" t="s">
        <v>958</v>
      </c>
    </row>
    <row r="1313" spans="4:8" x14ac:dyDescent="0.2">
      <c r="F1313" t="str">
        <f>"10711.1"</f>
        <v>10711.1</v>
      </c>
      <c r="H1313" t="s">
        <v>958</v>
      </c>
    </row>
    <row r="1314" spans="4:8" x14ac:dyDescent="0.2">
      <c r="G1314" t="str">
        <f>"10711.11"</f>
        <v>10711.11</v>
      </c>
      <c r="H1314" t="s">
        <v>959</v>
      </c>
    </row>
    <row r="1315" spans="4:8" x14ac:dyDescent="0.2">
      <c r="G1315" t="str">
        <f>"10711.12"</f>
        <v>10711.12</v>
      </c>
      <c r="H1315" t="s">
        <v>960</v>
      </c>
    </row>
    <row r="1316" spans="4:8" x14ac:dyDescent="0.2">
      <c r="F1316" t="str">
        <f>"10711.9"</f>
        <v>10711.9</v>
      </c>
      <c r="H1316" t="s">
        <v>961</v>
      </c>
    </row>
    <row r="1317" spans="4:8" x14ac:dyDescent="0.2">
      <c r="G1317" t="str">
        <f>"10711.90"</f>
        <v>10711.90</v>
      </c>
      <c r="H1317" t="s">
        <v>961</v>
      </c>
    </row>
    <row r="1318" spans="4:8" x14ac:dyDescent="0.2">
      <c r="E1318" t="str">
        <f>"10712"</f>
        <v>10712</v>
      </c>
      <c r="H1318" t="s">
        <v>962</v>
      </c>
    </row>
    <row r="1319" spans="4:8" x14ac:dyDescent="0.2">
      <c r="F1319" t="str">
        <f>"10712.1"</f>
        <v>10712.1</v>
      </c>
      <c r="H1319" t="s">
        <v>962</v>
      </c>
    </row>
    <row r="1320" spans="4:8" x14ac:dyDescent="0.2">
      <c r="G1320" t="str">
        <f>"10712.10"</f>
        <v>10712.10</v>
      </c>
      <c r="H1320" t="s">
        <v>962</v>
      </c>
    </row>
    <row r="1321" spans="4:8" x14ac:dyDescent="0.2">
      <c r="F1321" t="str">
        <f>"10712.9"</f>
        <v>10712.9</v>
      </c>
      <c r="H1321" t="s">
        <v>963</v>
      </c>
    </row>
    <row r="1322" spans="4:8" x14ac:dyDescent="0.2">
      <c r="G1322" t="str">
        <f>"10712.90"</f>
        <v>10712.90</v>
      </c>
      <c r="H1322" t="s">
        <v>963</v>
      </c>
    </row>
    <row r="1323" spans="4:8" x14ac:dyDescent="0.2">
      <c r="E1323" t="str">
        <f>"10713"</f>
        <v>10713</v>
      </c>
      <c r="H1323" t="s">
        <v>964</v>
      </c>
    </row>
    <row r="1324" spans="4:8" x14ac:dyDescent="0.2">
      <c r="F1324" t="str">
        <f>"10713.1"</f>
        <v>10713.1</v>
      </c>
      <c r="H1324" t="s">
        <v>964</v>
      </c>
    </row>
    <row r="1325" spans="4:8" x14ac:dyDescent="0.2">
      <c r="G1325" t="str">
        <f>"10713.10"</f>
        <v>10713.10</v>
      </c>
      <c r="H1325" t="s">
        <v>964</v>
      </c>
    </row>
    <row r="1326" spans="4:8" x14ac:dyDescent="0.2">
      <c r="F1326" t="str">
        <f>"10713.9"</f>
        <v>10713.9</v>
      </c>
      <c r="H1326" t="s">
        <v>965</v>
      </c>
    </row>
    <row r="1327" spans="4:8" x14ac:dyDescent="0.2">
      <c r="G1327" t="str">
        <f>"10713.90"</f>
        <v>10713.90</v>
      </c>
      <c r="H1327" t="s">
        <v>965</v>
      </c>
    </row>
    <row r="1328" spans="4:8" x14ac:dyDescent="0.2">
      <c r="D1328" t="str">
        <f>"1072"</f>
        <v>1072</v>
      </c>
      <c r="H1328" t="s">
        <v>966</v>
      </c>
    </row>
    <row r="1329" spans="5:8" x14ac:dyDescent="0.2">
      <c r="E1329" t="str">
        <f>"10721"</f>
        <v>10721</v>
      </c>
      <c r="H1329" t="s">
        <v>967</v>
      </c>
    </row>
    <row r="1330" spans="5:8" x14ac:dyDescent="0.2">
      <c r="F1330" t="str">
        <f>"10721.1"</f>
        <v>10721.1</v>
      </c>
      <c r="H1330" t="s">
        <v>967</v>
      </c>
    </row>
    <row r="1331" spans="5:8" x14ac:dyDescent="0.2">
      <c r="G1331" t="str">
        <f>"10721.10"</f>
        <v>10721.10</v>
      </c>
      <c r="H1331" t="s">
        <v>967</v>
      </c>
    </row>
    <row r="1332" spans="5:8" x14ac:dyDescent="0.2">
      <c r="F1332" t="str">
        <f>"10721.2"</f>
        <v>10721.2</v>
      </c>
      <c r="H1332" t="s">
        <v>968</v>
      </c>
    </row>
    <row r="1333" spans="5:8" x14ac:dyDescent="0.2">
      <c r="G1333" t="str">
        <f>"10721.20"</f>
        <v>10721.20</v>
      </c>
      <c r="H1333" t="s">
        <v>968</v>
      </c>
    </row>
    <row r="1334" spans="5:8" x14ac:dyDescent="0.2">
      <c r="F1334" t="str">
        <f>"10721.9"</f>
        <v>10721.9</v>
      </c>
      <c r="H1334" t="s">
        <v>969</v>
      </c>
    </row>
    <row r="1335" spans="5:8" x14ac:dyDescent="0.2">
      <c r="G1335" t="str">
        <f>"10721.90"</f>
        <v>10721.90</v>
      </c>
      <c r="H1335" t="s">
        <v>969</v>
      </c>
    </row>
    <row r="1336" spans="5:8" x14ac:dyDescent="0.2">
      <c r="E1336" t="str">
        <f>"10722"</f>
        <v>10722</v>
      </c>
      <c r="H1336" t="s">
        <v>970</v>
      </c>
    </row>
    <row r="1337" spans="5:8" x14ac:dyDescent="0.2">
      <c r="F1337" t="str">
        <f>"10722.1"</f>
        <v>10722.1</v>
      </c>
      <c r="H1337" t="s">
        <v>970</v>
      </c>
    </row>
    <row r="1338" spans="5:8" x14ac:dyDescent="0.2">
      <c r="G1338" t="str">
        <f>"10722.11"</f>
        <v>10722.11</v>
      </c>
      <c r="H1338" t="s">
        <v>971</v>
      </c>
    </row>
    <row r="1339" spans="5:8" x14ac:dyDescent="0.2">
      <c r="G1339" t="str">
        <f>"10722.12"</f>
        <v>10722.12</v>
      </c>
      <c r="H1339" t="s">
        <v>972</v>
      </c>
    </row>
    <row r="1340" spans="5:8" x14ac:dyDescent="0.2">
      <c r="G1340" t="str">
        <f>"10722.13"</f>
        <v>10722.13</v>
      </c>
      <c r="H1340" t="s">
        <v>973</v>
      </c>
    </row>
    <row r="1341" spans="5:8" x14ac:dyDescent="0.2">
      <c r="F1341" t="str">
        <f>"10722.2"</f>
        <v>10722.2</v>
      </c>
      <c r="H1341" t="s">
        <v>974</v>
      </c>
    </row>
    <row r="1342" spans="5:8" x14ac:dyDescent="0.2">
      <c r="G1342" t="str">
        <f>"10722.20"</f>
        <v>10722.20</v>
      </c>
      <c r="H1342" t="s">
        <v>974</v>
      </c>
    </row>
    <row r="1343" spans="5:8" x14ac:dyDescent="0.2">
      <c r="F1343" t="str">
        <f>"10722.9"</f>
        <v>10722.9</v>
      </c>
      <c r="H1343" t="s">
        <v>975</v>
      </c>
    </row>
    <row r="1344" spans="5:8" x14ac:dyDescent="0.2">
      <c r="G1344" t="str">
        <f>"10722.90"</f>
        <v>10722.90</v>
      </c>
      <c r="H1344" t="s">
        <v>975</v>
      </c>
    </row>
    <row r="1345" spans="4:8" x14ac:dyDescent="0.2">
      <c r="E1345" t="str">
        <f>"10723"</f>
        <v>10723</v>
      </c>
      <c r="H1345" t="s">
        <v>976</v>
      </c>
    </row>
    <row r="1346" spans="4:8" x14ac:dyDescent="0.2">
      <c r="F1346" t="str">
        <f>"10723.1"</f>
        <v>10723.1</v>
      </c>
      <c r="H1346" t="s">
        <v>976</v>
      </c>
    </row>
    <row r="1347" spans="4:8" x14ac:dyDescent="0.2">
      <c r="G1347" t="str">
        <f>"10723.11"</f>
        <v>10723.11</v>
      </c>
      <c r="H1347" t="s">
        <v>977</v>
      </c>
    </row>
    <row r="1348" spans="4:8" x14ac:dyDescent="0.2">
      <c r="G1348" t="str">
        <f>"10723.12"</f>
        <v>10723.12</v>
      </c>
      <c r="H1348" t="s">
        <v>978</v>
      </c>
    </row>
    <row r="1349" spans="4:8" x14ac:dyDescent="0.2">
      <c r="G1349" t="str">
        <f>"10723.19"</f>
        <v>10723.19</v>
      </c>
      <c r="H1349" t="s">
        <v>979</v>
      </c>
    </row>
    <row r="1350" spans="4:8" x14ac:dyDescent="0.2">
      <c r="F1350" t="str">
        <f>"10723.2"</f>
        <v>10723.2</v>
      </c>
      <c r="H1350" t="s">
        <v>980</v>
      </c>
    </row>
    <row r="1351" spans="4:8" x14ac:dyDescent="0.2">
      <c r="G1351" t="str">
        <f>"10723.20"</f>
        <v>10723.20</v>
      </c>
      <c r="H1351" t="s">
        <v>980</v>
      </c>
    </row>
    <row r="1352" spans="4:8" x14ac:dyDescent="0.2">
      <c r="F1352" t="str">
        <f>"10723.9"</f>
        <v>10723.9</v>
      </c>
      <c r="H1352" t="s">
        <v>981</v>
      </c>
    </row>
    <row r="1353" spans="4:8" x14ac:dyDescent="0.2">
      <c r="G1353" t="str">
        <f>"10723.90"</f>
        <v>10723.90</v>
      </c>
      <c r="H1353" t="s">
        <v>981</v>
      </c>
    </row>
    <row r="1354" spans="4:8" x14ac:dyDescent="0.2">
      <c r="D1354" t="str">
        <f>"1073"</f>
        <v>1073</v>
      </c>
      <c r="H1354" t="s">
        <v>982</v>
      </c>
    </row>
    <row r="1355" spans="4:8" x14ac:dyDescent="0.2">
      <c r="E1355" t="str">
        <f>"10731"</f>
        <v>10731</v>
      </c>
      <c r="H1355" t="s">
        <v>983</v>
      </c>
    </row>
    <row r="1356" spans="4:8" x14ac:dyDescent="0.2">
      <c r="F1356" t="str">
        <f>"10731.1"</f>
        <v>10731.1</v>
      </c>
      <c r="H1356" t="s">
        <v>984</v>
      </c>
    </row>
    <row r="1357" spans="4:8" x14ac:dyDescent="0.2">
      <c r="G1357" t="str">
        <f>"10731.11"</f>
        <v>10731.11</v>
      </c>
      <c r="H1357" t="s">
        <v>985</v>
      </c>
    </row>
    <row r="1358" spans="4:8" x14ac:dyDescent="0.2">
      <c r="G1358" t="str">
        <f>"10731.12"</f>
        <v>10731.12</v>
      </c>
      <c r="H1358" t="s">
        <v>986</v>
      </c>
    </row>
    <row r="1359" spans="4:8" x14ac:dyDescent="0.2">
      <c r="G1359" t="str">
        <f>"10731.13"</f>
        <v>10731.13</v>
      </c>
      <c r="H1359" t="s">
        <v>987</v>
      </c>
    </row>
    <row r="1360" spans="4:8" x14ac:dyDescent="0.2">
      <c r="F1360" t="str">
        <f>"10731.2"</f>
        <v>10731.2</v>
      </c>
      <c r="H1360" t="s">
        <v>988</v>
      </c>
    </row>
    <row r="1361" spans="5:8" x14ac:dyDescent="0.2">
      <c r="G1361" t="str">
        <f>"10731.20"</f>
        <v>10731.20</v>
      </c>
      <c r="H1361" t="s">
        <v>988</v>
      </c>
    </row>
    <row r="1362" spans="5:8" x14ac:dyDescent="0.2">
      <c r="F1362" t="str">
        <f>"10731.9"</f>
        <v>10731.9</v>
      </c>
      <c r="H1362" t="s">
        <v>989</v>
      </c>
    </row>
    <row r="1363" spans="5:8" x14ac:dyDescent="0.2">
      <c r="G1363" t="str">
        <f>"10731.90"</f>
        <v>10731.90</v>
      </c>
      <c r="H1363" t="s">
        <v>989</v>
      </c>
    </row>
    <row r="1364" spans="5:8" x14ac:dyDescent="0.2">
      <c r="E1364" t="str">
        <f>"10732"</f>
        <v>10732</v>
      </c>
      <c r="H1364" t="s">
        <v>990</v>
      </c>
    </row>
    <row r="1365" spans="5:8" x14ac:dyDescent="0.2">
      <c r="F1365" t="str">
        <f>"10732.1"</f>
        <v>10732.1</v>
      </c>
      <c r="H1365" t="s">
        <v>990</v>
      </c>
    </row>
    <row r="1366" spans="5:8" x14ac:dyDescent="0.2">
      <c r="G1366" t="str">
        <f>"10732.11"</f>
        <v>10732.11</v>
      </c>
      <c r="H1366" t="s">
        <v>991</v>
      </c>
    </row>
    <row r="1367" spans="5:8" x14ac:dyDescent="0.2">
      <c r="G1367" t="str">
        <f>"10732.12"</f>
        <v>10732.12</v>
      </c>
      <c r="H1367" t="s">
        <v>992</v>
      </c>
    </row>
    <row r="1368" spans="5:8" x14ac:dyDescent="0.2">
      <c r="G1368" t="str">
        <f>"10732.19"</f>
        <v>10732.19</v>
      </c>
      <c r="H1368" t="s">
        <v>993</v>
      </c>
    </row>
    <row r="1369" spans="5:8" x14ac:dyDescent="0.2">
      <c r="F1369" t="str">
        <f>"10732.9"</f>
        <v>10732.9</v>
      </c>
      <c r="H1369" t="s">
        <v>994</v>
      </c>
    </row>
    <row r="1370" spans="5:8" x14ac:dyDescent="0.2">
      <c r="G1370" t="str">
        <f>"10732.90"</f>
        <v>10732.90</v>
      </c>
      <c r="H1370" t="s">
        <v>994</v>
      </c>
    </row>
    <row r="1371" spans="5:8" x14ac:dyDescent="0.2">
      <c r="E1371" t="str">
        <f>"10733"</f>
        <v>10733</v>
      </c>
      <c r="H1371" t="s">
        <v>995</v>
      </c>
    </row>
    <row r="1372" spans="5:8" x14ac:dyDescent="0.2">
      <c r="F1372" t="str">
        <f>"10733.1"</f>
        <v>10733.1</v>
      </c>
      <c r="H1372" t="s">
        <v>996</v>
      </c>
    </row>
    <row r="1373" spans="5:8" x14ac:dyDescent="0.2">
      <c r="G1373" t="str">
        <f>"10733.10"</f>
        <v>10733.10</v>
      </c>
      <c r="H1373" t="s">
        <v>996</v>
      </c>
    </row>
    <row r="1374" spans="5:8" x14ac:dyDescent="0.2">
      <c r="F1374" t="str">
        <f>"10733.9"</f>
        <v>10733.9</v>
      </c>
      <c r="H1374" t="s">
        <v>997</v>
      </c>
    </row>
    <row r="1375" spans="5:8" x14ac:dyDescent="0.2">
      <c r="G1375" t="str">
        <f>"10733.90"</f>
        <v>10733.90</v>
      </c>
      <c r="H1375" t="s">
        <v>997</v>
      </c>
    </row>
    <row r="1376" spans="5:8" x14ac:dyDescent="0.2">
      <c r="E1376" t="str">
        <f>"10734"</f>
        <v>10734</v>
      </c>
      <c r="H1376" t="s">
        <v>998</v>
      </c>
    </row>
    <row r="1377" spans="4:8" x14ac:dyDescent="0.2">
      <c r="F1377" t="str">
        <f>"10734.1"</f>
        <v>10734.1</v>
      </c>
      <c r="H1377" t="s">
        <v>999</v>
      </c>
    </row>
    <row r="1378" spans="4:8" x14ac:dyDescent="0.2">
      <c r="G1378" t="str">
        <f>"10734.10"</f>
        <v>10734.10</v>
      </c>
      <c r="H1378" t="s">
        <v>999</v>
      </c>
    </row>
    <row r="1379" spans="4:8" x14ac:dyDescent="0.2">
      <c r="F1379" t="str">
        <f>"10734.9"</f>
        <v>10734.9</v>
      </c>
      <c r="H1379" t="s">
        <v>1000</v>
      </c>
    </row>
    <row r="1380" spans="4:8" x14ac:dyDescent="0.2">
      <c r="G1380" t="str">
        <f>"10734.90"</f>
        <v>10734.90</v>
      </c>
      <c r="H1380" t="s">
        <v>1000</v>
      </c>
    </row>
    <row r="1381" spans="4:8" x14ac:dyDescent="0.2">
      <c r="E1381" t="str">
        <f>"10739"</f>
        <v>10739</v>
      </c>
      <c r="H1381" t="s">
        <v>1001</v>
      </c>
    </row>
    <row r="1382" spans="4:8" x14ac:dyDescent="0.2">
      <c r="F1382" t="str">
        <f>"10739.1"</f>
        <v>10739.1</v>
      </c>
      <c r="H1382" t="s">
        <v>1001</v>
      </c>
    </row>
    <row r="1383" spans="4:8" x14ac:dyDescent="0.2">
      <c r="G1383" t="str">
        <f>"10739.10"</f>
        <v>10739.10</v>
      </c>
      <c r="H1383" t="s">
        <v>1001</v>
      </c>
    </row>
    <row r="1384" spans="4:8" x14ac:dyDescent="0.2">
      <c r="F1384" t="str">
        <f>"10739.9"</f>
        <v>10739.9</v>
      </c>
      <c r="H1384" t="s">
        <v>1002</v>
      </c>
    </row>
    <row r="1385" spans="4:8" x14ac:dyDescent="0.2">
      <c r="G1385" t="str">
        <f>"10739.90"</f>
        <v>10739.90</v>
      </c>
      <c r="H1385" t="s">
        <v>1002</v>
      </c>
    </row>
    <row r="1386" spans="4:8" x14ac:dyDescent="0.2">
      <c r="D1386" t="str">
        <f>"1074"</f>
        <v>1074</v>
      </c>
      <c r="H1386" t="s">
        <v>1003</v>
      </c>
    </row>
    <row r="1387" spans="4:8" x14ac:dyDescent="0.2">
      <c r="E1387" t="str">
        <f>"10741"</f>
        <v>10741</v>
      </c>
      <c r="H1387" t="s">
        <v>1004</v>
      </c>
    </row>
    <row r="1388" spans="4:8" x14ac:dyDescent="0.2">
      <c r="F1388" t="str">
        <f>"10741.1"</f>
        <v>10741.1</v>
      </c>
      <c r="H1388" t="s">
        <v>1004</v>
      </c>
    </row>
    <row r="1389" spans="4:8" x14ac:dyDescent="0.2">
      <c r="G1389" t="str">
        <f>"10741.11"</f>
        <v>10741.11</v>
      </c>
      <c r="H1389" t="s">
        <v>1005</v>
      </c>
    </row>
    <row r="1390" spans="4:8" x14ac:dyDescent="0.2">
      <c r="G1390" t="str">
        <f>"10741.12"</f>
        <v>10741.12</v>
      </c>
      <c r="H1390" t="s">
        <v>1006</v>
      </c>
    </row>
    <row r="1391" spans="4:8" x14ac:dyDescent="0.2">
      <c r="F1391" t="str">
        <f>"10741.9"</f>
        <v>10741.9</v>
      </c>
      <c r="H1391" t="s">
        <v>1007</v>
      </c>
    </row>
    <row r="1392" spans="4:8" x14ac:dyDescent="0.2">
      <c r="G1392" t="str">
        <f>"10741.90"</f>
        <v>10741.90</v>
      </c>
      <c r="H1392" t="s">
        <v>1007</v>
      </c>
    </row>
    <row r="1393" spans="4:8" x14ac:dyDescent="0.2">
      <c r="E1393" t="str">
        <f>"10742"</f>
        <v>10742</v>
      </c>
      <c r="H1393" t="s">
        <v>1008</v>
      </c>
    </row>
    <row r="1394" spans="4:8" x14ac:dyDescent="0.2">
      <c r="F1394" t="str">
        <f>"10742.1"</f>
        <v>10742.1</v>
      </c>
      <c r="H1394" t="s">
        <v>1009</v>
      </c>
    </row>
    <row r="1395" spans="4:8" x14ac:dyDescent="0.2">
      <c r="G1395" t="str">
        <f>"10742.10"</f>
        <v>10742.10</v>
      </c>
      <c r="H1395" t="s">
        <v>1009</v>
      </c>
    </row>
    <row r="1396" spans="4:8" x14ac:dyDescent="0.2">
      <c r="F1396" t="str">
        <f>"10742.9"</f>
        <v>10742.9</v>
      </c>
      <c r="H1396" t="s">
        <v>1010</v>
      </c>
    </row>
    <row r="1397" spans="4:8" x14ac:dyDescent="0.2">
      <c r="G1397" t="str">
        <f>"10742.90"</f>
        <v>10742.90</v>
      </c>
      <c r="H1397" t="s">
        <v>1011</v>
      </c>
    </row>
    <row r="1398" spans="4:8" x14ac:dyDescent="0.2">
      <c r="E1398" t="str">
        <f>"10743"</f>
        <v>10743</v>
      </c>
      <c r="H1398" t="s">
        <v>1012</v>
      </c>
    </row>
    <row r="1399" spans="4:8" x14ac:dyDescent="0.2">
      <c r="F1399" t="str">
        <f>"10743.1"</f>
        <v>10743.1</v>
      </c>
      <c r="H1399" t="s">
        <v>1013</v>
      </c>
    </row>
    <row r="1400" spans="4:8" x14ac:dyDescent="0.2">
      <c r="G1400" t="str">
        <f>"10743.10"</f>
        <v>10743.10</v>
      </c>
      <c r="H1400" t="s">
        <v>1013</v>
      </c>
    </row>
    <row r="1401" spans="4:8" x14ac:dyDescent="0.2">
      <c r="F1401" t="str">
        <f>"10743.9"</f>
        <v>10743.9</v>
      </c>
      <c r="H1401" t="s">
        <v>1014</v>
      </c>
    </row>
    <row r="1402" spans="4:8" x14ac:dyDescent="0.2">
      <c r="G1402" t="str">
        <f>"10743.90"</f>
        <v>10743.90</v>
      </c>
      <c r="H1402" t="s">
        <v>1014</v>
      </c>
    </row>
    <row r="1403" spans="4:8" x14ac:dyDescent="0.2">
      <c r="E1403" t="str">
        <f>"10749"</f>
        <v>10749</v>
      </c>
      <c r="H1403" t="s">
        <v>1015</v>
      </c>
    </row>
    <row r="1404" spans="4:8" x14ac:dyDescent="0.2">
      <c r="F1404" t="str">
        <f>"10749.1"</f>
        <v>10749.1</v>
      </c>
      <c r="H1404" t="s">
        <v>1016</v>
      </c>
    </row>
    <row r="1405" spans="4:8" x14ac:dyDescent="0.2">
      <c r="G1405" t="str">
        <f>"10749.10"</f>
        <v>10749.10</v>
      </c>
      <c r="H1405" t="s">
        <v>1016</v>
      </c>
    </row>
    <row r="1406" spans="4:8" x14ac:dyDescent="0.2">
      <c r="F1406" t="str">
        <f>"10749.9"</f>
        <v>10749.9</v>
      </c>
      <c r="H1406" t="s">
        <v>1017</v>
      </c>
    </row>
    <row r="1407" spans="4:8" x14ac:dyDescent="0.2">
      <c r="G1407" t="str">
        <f>"10749.90"</f>
        <v>10749.90</v>
      </c>
      <c r="H1407" t="s">
        <v>1017</v>
      </c>
    </row>
    <row r="1408" spans="4:8" x14ac:dyDescent="0.2">
      <c r="D1408" t="str">
        <f>"1075"</f>
        <v>1075</v>
      </c>
      <c r="H1408" t="s">
        <v>1018</v>
      </c>
    </row>
    <row r="1409" spans="5:8" x14ac:dyDescent="0.2">
      <c r="E1409" t="str">
        <f>"10751"</f>
        <v>10751</v>
      </c>
      <c r="H1409" t="s">
        <v>1019</v>
      </c>
    </row>
    <row r="1410" spans="5:8" x14ac:dyDescent="0.2">
      <c r="F1410" t="str">
        <f>"10751.1"</f>
        <v>10751.1</v>
      </c>
      <c r="H1410" t="s">
        <v>1019</v>
      </c>
    </row>
    <row r="1411" spans="5:8" x14ac:dyDescent="0.2">
      <c r="G1411" t="str">
        <f>"10751.11"</f>
        <v>10751.11</v>
      </c>
      <c r="H1411" t="s">
        <v>1020</v>
      </c>
    </row>
    <row r="1412" spans="5:8" x14ac:dyDescent="0.2">
      <c r="G1412" t="str">
        <f>"10751.12"</f>
        <v>10751.12</v>
      </c>
      <c r="H1412" t="s">
        <v>1021</v>
      </c>
    </row>
    <row r="1413" spans="5:8" x14ac:dyDescent="0.2">
      <c r="G1413" t="str">
        <f>"10751.13"</f>
        <v>10751.13</v>
      </c>
      <c r="H1413" t="s">
        <v>1022</v>
      </c>
    </row>
    <row r="1414" spans="5:8" x14ac:dyDescent="0.2">
      <c r="G1414" t="str">
        <f>"10751.14"</f>
        <v>10751.14</v>
      </c>
      <c r="H1414" t="s">
        <v>1023</v>
      </c>
    </row>
    <row r="1415" spans="5:8" x14ac:dyDescent="0.2">
      <c r="G1415" t="str">
        <f>"10751.19"</f>
        <v>10751.19</v>
      </c>
      <c r="H1415" t="s">
        <v>1024</v>
      </c>
    </row>
    <row r="1416" spans="5:8" x14ac:dyDescent="0.2">
      <c r="F1416" t="str">
        <f>"10751.9"</f>
        <v>10751.9</v>
      </c>
      <c r="H1416" t="s">
        <v>1025</v>
      </c>
    </row>
    <row r="1417" spans="5:8" x14ac:dyDescent="0.2">
      <c r="G1417" t="str">
        <f>"10751.90"</f>
        <v>10751.90</v>
      </c>
      <c r="H1417" t="s">
        <v>1025</v>
      </c>
    </row>
    <row r="1418" spans="5:8" x14ac:dyDescent="0.2">
      <c r="E1418" t="str">
        <f>"10752"</f>
        <v>10752</v>
      </c>
      <c r="H1418" t="s">
        <v>1026</v>
      </c>
    </row>
    <row r="1419" spans="5:8" x14ac:dyDescent="0.2">
      <c r="F1419" t="str">
        <f>"10752.1"</f>
        <v>10752.1</v>
      </c>
      <c r="H1419" t="s">
        <v>1026</v>
      </c>
    </row>
    <row r="1420" spans="5:8" x14ac:dyDescent="0.2">
      <c r="G1420" t="str">
        <f>"10752.11"</f>
        <v>10752.11</v>
      </c>
      <c r="H1420" t="s">
        <v>1027</v>
      </c>
    </row>
    <row r="1421" spans="5:8" x14ac:dyDescent="0.2">
      <c r="G1421" t="str">
        <f>"10752.12"</f>
        <v>10752.12</v>
      </c>
      <c r="H1421" t="s">
        <v>1028</v>
      </c>
    </row>
    <row r="1422" spans="5:8" x14ac:dyDescent="0.2">
      <c r="G1422" t="str">
        <f>"10752.13"</f>
        <v>10752.13</v>
      </c>
      <c r="H1422" t="s">
        <v>1029</v>
      </c>
    </row>
    <row r="1423" spans="5:8" x14ac:dyDescent="0.2">
      <c r="G1423" t="str">
        <f>"10752.14"</f>
        <v>10752.14</v>
      </c>
      <c r="H1423" t="s">
        <v>1030</v>
      </c>
    </row>
    <row r="1424" spans="5:8" x14ac:dyDescent="0.2">
      <c r="G1424" t="str">
        <f>"10752.19"</f>
        <v>10752.19</v>
      </c>
      <c r="H1424" t="s">
        <v>1031</v>
      </c>
    </row>
    <row r="1425" spans="4:8" x14ac:dyDescent="0.2">
      <c r="F1425" t="str">
        <f>"10752.9"</f>
        <v>10752.9</v>
      </c>
      <c r="H1425" t="s">
        <v>1032</v>
      </c>
    </row>
    <row r="1426" spans="4:8" x14ac:dyDescent="0.2">
      <c r="G1426" t="str">
        <f>"10752.90"</f>
        <v>10752.90</v>
      </c>
      <c r="H1426" t="s">
        <v>1032</v>
      </c>
    </row>
    <row r="1427" spans="4:8" x14ac:dyDescent="0.2">
      <c r="D1427" t="str">
        <f>"1076"</f>
        <v>1076</v>
      </c>
      <c r="H1427" t="s">
        <v>1033</v>
      </c>
    </row>
    <row r="1428" spans="4:8" x14ac:dyDescent="0.2">
      <c r="E1428" t="str">
        <f>"10761"</f>
        <v>10761</v>
      </c>
      <c r="H1428" t="s">
        <v>194</v>
      </c>
    </row>
    <row r="1429" spans="4:8" x14ac:dyDescent="0.2">
      <c r="F1429" t="str">
        <f>"10761.1"</f>
        <v>10761.1</v>
      </c>
      <c r="H1429" t="s">
        <v>1034</v>
      </c>
    </row>
    <row r="1430" spans="4:8" x14ac:dyDescent="0.2">
      <c r="G1430" t="str">
        <f>"10761.11"</f>
        <v>10761.11</v>
      </c>
      <c r="H1430" t="s">
        <v>1035</v>
      </c>
    </row>
    <row r="1431" spans="4:8" x14ac:dyDescent="0.2">
      <c r="G1431" t="str">
        <f>"10761.12"</f>
        <v>10761.12</v>
      </c>
      <c r="H1431" t="s">
        <v>1036</v>
      </c>
    </row>
    <row r="1432" spans="4:8" x14ac:dyDescent="0.2">
      <c r="F1432" t="str">
        <f>"10761.9"</f>
        <v>10761.9</v>
      </c>
      <c r="H1432" t="s">
        <v>1037</v>
      </c>
    </row>
    <row r="1433" spans="4:8" x14ac:dyDescent="0.2">
      <c r="G1433" t="str">
        <f>"10761.90"</f>
        <v>10761.90</v>
      </c>
      <c r="H1433" t="s">
        <v>1037</v>
      </c>
    </row>
    <row r="1434" spans="4:8" x14ac:dyDescent="0.2">
      <c r="E1434" t="str">
        <f>"10762"</f>
        <v>10762</v>
      </c>
      <c r="H1434" t="s">
        <v>191</v>
      </c>
    </row>
    <row r="1435" spans="4:8" x14ac:dyDescent="0.2">
      <c r="F1435" t="str">
        <f>"10762.1"</f>
        <v>10762.1</v>
      </c>
      <c r="H1435" t="s">
        <v>1038</v>
      </c>
    </row>
    <row r="1436" spans="4:8" x14ac:dyDescent="0.2">
      <c r="G1436" t="str">
        <f>"10762.11"</f>
        <v>10762.11</v>
      </c>
      <c r="H1436" t="s">
        <v>1039</v>
      </c>
    </row>
    <row r="1437" spans="4:8" x14ac:dyDescent="0.2">
      <c r="G1437" t="str">
        <f>"10762.12"</f>
        <v>10762.12</v>
      </c>
      <c r="H1437" t="s">
        <v>1040</v>
      </c>
    </row>
    <row r="1438" spans="4:8" x14ac:dyDescent="0.2">
      <c r="F1438" t="str">
        <f>"10762.9"</f>
        <v>10762.9</v>
      </c>
      <c r="H1438" t="s">
        <v>1041</v>
      </c>
    </row>
    <row r="1439" spans="4:8" x14ac:dyDescent="0.2">
      <c r="G1439" t="str">
        <f>"10762.90"</f>
        <v>10762.90</v>
      </c>
      <c r="H1439" t="s">
        <v>1041</v>
      </c>
    </row>
    <row r="1440" spans="4:8" x14ac:dyDescent="0.2">
      <c r="E1440" t="str">
        <f>"10769"</f>
        <v>10769</v>
      </c>
      <c r="H1440" t="s">
        <v>1042</v>
      </c>
    </row>
    <row r="1441" spans="4:8" x14ac:dyDescent="0.2">
      <c r="F1441" t="str">
        <f>"10769.1"</f>
        <v>10769.1</v>
      </c>
      <c r="H1441" t="s">
        <v>1043</v>
      </c>
    </row>
    <row r="1442" spans="4:8" x14ac:dyDescent="0.2">
      <c r="G1442" t="str">
        <f>"10769.10"</f>
        <v>10769.10</v>
      </c>
      <c r="H1442" t="s">
        <v>1043</v>
      </c>
    </row>
    <row r="1443" spans="4:8" x14ac:dyDescent="0.2">
      <c r="F1443" t="str">
        <f>"10769.9"</f>
        <v>10769.9</v>
      </c>
      <c r="H1443" t="s">
        <v>1044</v>
      </c>
    </row>
    <row r="1444" spans="4:8" x14ac:dyDescent="0.2">
      <c r="G1444" t="str">
        <f>"10769.90"</f>
        <v>10769.90</v>
      </c>
      <c r="H1444" t="s">
        <v>1044</v>
      </c>
    </row>
    <row r="1445" spans="4:8" x14ac:dyDescent="0.2">
      <c r="D1445" t="str">
        <f>"1077"</f>
        <v>1077</v>
      </c>
      <c r="H1445" t="s">
        <v>1045</v>
      </c>
    </row>
    <row r="1446" spans="4:8" x14ac:dyDescent="0.2">
      <c r="E1446" t="str">
        <f>"10771"</f>
        <v>10771</v>
      </c>
      <c r="H1446" t="s">
        <v>1046</v>
      </c>
    </row>
    <row r="1447" spans="4:8" x14ac:dyDescent="0.2">
      <c r="F1447" t="str">
        <f>"10771.1"</f>
        <v>10771.1</v>
      </c>
      <c r="H1447" t="s">
        <v>1046</v>
      </c>
    </row>
    <row r="1448" spans="4:8" x14ac:dyDescent="0.2">
      <c r="G1448" t="str">
        <f>"10771.11"</f>
        <v>10771.11</v>
      </c>
      <c r="H1448" t="s">
        <v>1047</v>
      </c>
    </row>
    <row r="1449" spans="4:8" x14ac:dyDescent="0.2">
      <c r="G1449" t="str">
        <f>"10771.12"</f>
        <v>10771.12</v>
      </c>
      <c r="H1449" t="s">
        <v>1048</v>
      </c>
    </row>
    <row r="1450" spans="4:8" x14ac:dyDescent="0.2">
      <c r="G1450" t="str">
        <f>"10771.19"</f>
        <v>10771.19</v>
      </c>
      <c r="H1450" t="s">
        <v>1049</v>
      </c>
    </row>
    <row r="1451" spans="4:8" x14ac:dyDescent="0.2">
      <c r="F1451" t="str">
        <f>"10771.9"</f>
        <v>10771.9</v>
      </c>
      <c r="H1451" t="s">
        <v>1050</v>
      </c>
    </row>
    <row r="1452" spans="4:8" x14ac:dyDescent="0.2">
      <c r="G1452" t="str">
        <f>"10771.90"</f>
        <v>10771.90</v>
      </c>
      <c r="H1452" t="s">
        <v>1050</v>
      </c>
    </row>
    <row r="1453" spans="4:8" x14ac:dyDescent="0.2">
      <c r="E1453" t="str">
        <f>"10772"</f>
        <v>10772</v>
      </c>
      <c r="H1453" t="s">
        <v>1051</v>
      </c>
    </row>
    <row r="1454" spans="4:8" x14ac:dyDescent="0.2">
      <c r="F1454" t="str">
        <f>"10772.1"</f>
        <v>10772.1</v>
      </c>
      <c r="H1454" t="s">
        <v>1051</v>
      </c>
    </row>
    <row r="1455" spans="4:8" x14ac:dyDescent="0.2">
      <c r="G1455" t="str">
        <f>"10772.11"</f>
        <v>10772.11</v>
      </c>
      <c r="H1455" t="s">
        <v>1052</v>
      </c>
    </row>
    <row r="1456" spans="4:8" x14ac:dyDescent="0.2">
      <c r="G1456" t="str">
        <f>"10772.12"</f>
        <v>10772.12</v>
      </c>
      <c r="H1456" t="s">
        <v>1053</v>
      </c>
    </row>
    <row r="1457" spans="5:8" x14ac:dyDescent="0.2">
      <c r="F1457" t="str">
        <f>"10772.9"</f>
        <v>10772.9</v>
      </c>
      <c r="H1457" t="s">
        <v>1054</v>
      </c>
    </row>
    <row r="1458" spans="5:8" x14ac:dyDescent="0.2">
      <c r="G1458" t="str">
        <f>"10772.90"</f>
        <v>10772.90</v>
      </c>
      <c r="H1458" t="s">
        <v>1054</v>
      </c>
    </row>
    <row r="1459" spans="5:8" x14ac:dyDescent="0.2">
      <c r="E1459" t="str">
        <f>"10773"</f>
        <v>10773</v>
      </c>
      <c r="H1459" t="s">
        <v>1055</v>
      </c>
    </row>
    <row r="1460" spans="5:8" x14ac:dyDescent="0.2">
      <c r="F1460" t="str">
        <f>"10773.1"</f>
        <v>10773.1</v>
      </c>
      <c r="H1460" t="s">
        <v>1056</v>
      </c>
    </row>
    <row r="1461" spans="5:8" x14ac:dyDescent="0.2">
      <c r="G1461" t="str">
        <f>"10773.10"</f>
        <v>10773.10</v>
      </c>
      <c r="H1461" t="s">
        <v>1056</v>
      </c>
    </row>
    <row r="1462" spans="5:8" x14ac:dyDescent="0.2">
      <c r="F1462" t="str">
        <f>"10773.9"</f>
        <v>10773.9</v>
      </c>
      <c r="H1462" t="s">
        <v>1057</v>
      </c>
    </row>
    <row r="1463" spans="5:8" x14ac:dyDescent="0.2">
      <c r="G1463" t="str">
        <f>"10773.90"</f>
        <v>10773.90</v>
      </c>
      <c r="H1463" t="s">
        <v>1057</v>
      </c>
    </row>
    <row r="1464" spans="5:8" x14ac:dyDescent="0.2">
      <c r="E1464" t="str">
        <f>"10774"</f>
        <v>10774</v>
      </c>
      <c r="H1464" t="s">
        <v>1058</v>
      </c>
    </row>
    <row r="1465" spans="5:8" x14ac:dyDescent="0.2">
      <c r="F1465" t="str">
        <f>"10774.1"</f>
        <v>10774.1</v>
      </c>
      <c r="H1465" t="s">
        <v>1059</v>
      </c>
    </row>
    <row r="1466" spans="5:8" x14ac:dyDescent="0.2">
      <c r="G1466" t="str">
        <f>"10774.10"</f>
        <v>10774.10</v>
      </c>
      <c r="H1466" t="s">
        <v>1059</v>
      </c>
    </row>
    <row r="1467" spans="5:8" x14ac:dyDescent="0.2">
      <c r="F1467" t="str">
        <f>"10774.9"</f>
        <v>10774.9</v>
      </c>
      <c r="H1467" t="s">
        <v>1060</v>
      </c>
    </row>
    <row r="1468" spans="5:8" x14ac:dyDescent="0.2">
      <c r="G1468" t="str">
        <f>"10774.90"</f>
        <v>10774.90</v>
      </c>
      <c r="H1468" t="s">
        <v>1060</v>
      </c>
    </row>
    <row r="1469" spans="5:8" x14ac:dyDescent="0.2">
      <c r="E1469" t="str">
        <f>"10775"</f>
        <v>10775</v>
      </c>
      <c r="H1469" t="s">
        <v>1061</v>
      </c>
    </row>
    <row r="1470" spans="5:8" x14ac:dyDescent="0.2">
      <c r="F1470" t="str">
        <f>"10775.1"</f>
        <v>10775.1</v>
      </c>
      <c r="H1470" t="s">
        <v>1061</v>
      </c>
    </row>
    <row r="1471" spans="5:8" x14ac:dyDescent="0.2">
      <c r="G1471" t="str">
        <f>"10775.10"</f>
        <v>10775.10</v>
      </c>
      <c r="H1471" t="s">
        <v>1061</v>
      </c>
    </row>
    <row r="1472" spans="5:8" x14ac:dyDescent="0.2">
      <c r="F1472" t="str">
        <f>"10775.9"</f>
        <v>10775.9</v>
      </c>
      <c r="H1472" t="s">
        <v>1062</v>
      </c>
    </row>
    <row r="1473" spans="4:8" x14ac:dyDescent="0.2">
      <c r="G1473" t="str">
        <f>"10775.90"</f>
        <v>10775.90</v>
      </c>
      <c r="H1473" t="s">
        <v>1062</v>
      </c>
    </row>
    <row r="1474" spans="4:8" x14ac:dyDescent="0.2">
      <c r="E1474" t="str">
        <f>"10779"</f>
        <v>10779</v>
      </c>
      <c r="H1474" t="s">
        <v>1063</v>
      </c>
    </row>
    <row r="1475" spans="4:8" x14ac:dyDescent="0.2">
      <c r="F1475" t="str">
        <f>"10779.1"</f>
        <v>10779.1</v>
      </c>
      <c r="H1475" t="s">
        <v>1063</v>
      </c>
    </row>
    <row r="1476" spans="4:8" x14ac:dyDescent="0.2">
      <c r="G1476" t="str">
        <f>"10779.11"</f>
        <v>10779.11</v>
      </c>
      <c r="H1476" t="s">
        <v>1064</v>
      </c>
    </row>
    <row r="1477" spans="4:8" x14ac:dyDescent="0.2">
      <c r="G1477" t="str">
        <f>"10779.12"</f>
        <v>10779.12</v>
      </c>
      <c r="H1477" t="s">
        <v>1065</v>
      </c>
    </row>
    <row r="1478" spans="4:8" x14ac:dyDescent="0.2">
      <c r="G1478" t="str">
        <f>"10779.13"</f>
        <v>10779.13</v>
      </c>
      <c r="H1478" t="s">
        <v>1066</v>
      </c>
    </row>
    <row r="1479" spans="4:8" x14ac:dyDescent="0.2">
      <c r="G1479" t="str">
        <f>"10779.14"</f>
        <v>10779.14</v>
      </c>
      <c r="H1479" t="s">
        <v>1067</v>
      </c>
    </row>
    <row r="1480" spans="4:8" x14ac:dyDescent="0.2">
      <c r="G1480" t="str">
        <f>"10779.15"</f>
        <v>10779.15</v>
      </c>
      <c r="H1480" t="s">
        <v>1068</v>
      </c>
    </row>
    <row r="1481" spans="4:8" x14ac:dyDescent="0.2">
      <c r="F1481" t="str">
        <f>"10779.9"</f>
        <v>10779.9</v>
      </c>
      <c r="H1481" t="s">
        <v>1069</v>
      </c>
    </row>
    <row r="1482" spans="4:8" x14ac:dyDescent="0.2">
      <c r="G1482" t="str">
        <f>"10779.90"</f>
        <v>10779.90</v>
      </c>
      <c r="H1482" t="s">
        <v>1069</v>
      </c>
    </row>
    <row r="1483" spans="4:8" x14ac:dyDescent="0.2">
      <c r="D1483" t="str">
        <f>"1079"</f>
        <v>1079</v>
      </c>
      <c r="H1483" t="s">
        <v>1070</v>
      </c>
    </row>
    <row r="1484" spans="4:8" x14ac:dyDescent="0.2">
      <c r="E1484" t="str">
        <f>"10791"</f>
        <v>10791</v>
      </c>
      <c r="H1484" t="s">
        <v>1071</v>
      </c>
    </row>
    <row r="1485" spans="4:8" x14ac:dyDescent="0.2">
      <c r="F1485" t="str">
        <f>"10791.1"</f>
        <v>10791.1</v>
      </c>
      <c r="H1485" t="s">
        <v>1071</v>
      </c>
    </row>
    <row r="1486" spans="4:8" x14ac:dyDescent="0.2">
      <c r="G1486" t="str">
        <f>"10791.10"</f>
        <v>10791.10</v>
      </c>
      <c r="H1486" t="s">
        <v>1071</v>
      </c>
    </row>
    <row r="1487" spans="4:8" x14ac:dyDescent="0.2">
      <c r="F1487" t="str">
        <f>"10791.9"</f>
        <v>10791.9</v>
      </c>
      <c r="H1487" t="s">
        <v>1072</v>
      </c>
    </row>
    <row r="1488" spans="4:8" x14ac:dyDescent="0.2">
      <c r="G1488" t="str">
        <f>"10791.90"</f>
        <v>10791.90</v>
      </c>
      <c r="H1488" t="s">
        <v>1072</v>
      </c>
    </row>
    <row r="1489" spans="5:8" x14ac:dyDescent="0.2">
      <c r="E1489" t="str">
        <f>"10792"</f>
        <v>10792</v>
      </c>
      <c r="H1489" t="s">
        <v>1073</v>
      </c>
    </row>
    <row r="1490" spans="5:8" x14ac:dyDescent="0.2">
      <c r="F1490" t="str">
        <f>"10792.1"</f>
        <v>10792.1</v>
      </c>
      <c r="H1490" t="s">
        <v>1073</v>
      </c>
    </row>
    <row r="1491" spans="5:8" x14ac:dyDescent="0.2">
      <c r="G1491" t="str">
        <f>"10792.10"</f>
        <v>10792.10</v>
      </c>
      <c r="H1491" t="s">
        <v>1073</v>
      </c>
    </row>
    <row r="1492" spans="5:8" x14ac:dyDescent="0.2">
      <c r="F1492" t="str">
        <f>"10792.9"</f>
        <v>10792.9</v>
      </c>
      <c r="H1492" t="s">
        <v>1074</v>
      </c>
    </row>
    <row r="1493" spans="5:8" x14ac:dyDescent="0.2">
      <c r="G1493" t="str">
        <f>"10792.90"</f>
        <v>10792.90</v>
      </c>
      <c r="H1493" t="s">
        <v>1074</v>
      </c>
    </row>
    <row r="1494" spans="5:8" x14ac:dyDescent="0.2">
      <c r="E1494" t="str">
        <f>"10793"</f>
        <v>10793</v>
      </c>
      <c r="H1494" t="s">
        <v>1075</v>
      </c>
    </row>
    <row r="1495" spans="5:8" x14ac:dyDescent="0.2">
      <c r="F1495" t="str">
        <f>"10793.1"</f>
        <v>10793.1</v>
      </c>
      <c r="H1495" t="s">
        <v>1075</v>
      </c>
    </row>
    <row r="1496" spans="5:8" x14ac:dyDescent="0.2">
      <c r="G1496" t="str">
        <f>"10793.11"</f>
        <v>10793.11</v>
      </c>
      <c r="H1496" t="s">
        <v>1076</v>
      </c>
    </row>
    <row r="1497" spans="5:8" x14ac:dyDescent="0.2">
      <c r="G1497" t="str">
        <f>"10793.12"</f>
        <v>10793.12</v>
      </c>
      <c r="H1497" t="s">
        <v>1077</v>
      </c>
    </row>
    <row r="1498" spans="5:8" x14ac:dyDescent="0.2">
      <c r="G1498" t="str">
        <f>"10793.13"</f>
        <v>10793.13</v>
      </c>
      <c r="H1498" t="s">
        <v>1078</v>
      </c>
    </row>
    <row r="1499" spans="5:8" x14ac:dyDescent="0.2">
      <c r="G1499" t="str">
        <f>"10793.14"</f>
        <v>10793.14</v>
      </c>
      <c r="H1499" t="s">
        <v>1079</v>
      </c>
    </row>
    <row r="1500" spans="5:8" x14ac:dyDescent="0.2">
      <c r="F1500" t="str">
        <f>"10793.9"</f>
        <v>10793.9</v>
      </c>
      <c r="H1500" t="s">
        <v>1080</v>
      </c>
    </row>
    <row r="1501" spans="5:8" x14ac:dyDescent="0.2">
      <c r="G1501" t="str">
        <f>"10793.90"</f>
        <v>10793.90</v>
      </c>
      <c r="H1501" t="s">
        <v>1080</v>
      </c>
    </row>
    <row r="1502" spans="5:8" x14ac:dyDescent="0.2">
      <c r="E1502" t="str">
        <f>"10794"</f>
        <v>10794</v>
      </c>
      <c r="H1502" t="s">
        <v>1081</v>
      </c>
    </row>
    <row r="1503" spans="5:8" x14ac:dyDescent="0.2">
      <c r="F1503" t="str">
        <f>"10794.1"</f>
        <v>10794.1</v>
      </c>
      <c r="H1503" t="s">
        <v>1081</v>
      </c>
    </row>
    <row r="1504" spans="5:8" x14ac:dyDescent="0.2">
      <c r="G1504" t="str">
        <f>"10794.10"</f>
        <v>10794.10</v>
      </c>
      <c r="H1504" t="s">
        <v>1081</v>
      </c>
    </row>
    <row r="1505" spans="5:8" x14ac:dyDescent="0.2">
      <c r="F1505" t="str">
        <f>"10794.9"</f>
        <v>10794.9</v>
      </c>
      <c r="H1505" t="s">
        <v>1082</v>
      </c>
    </row>
    <row r="1506" spans="5:8" x14ac:dyDescent="0.2">
      <c r="G1506" t="str">
        <f>"10794.90"</f>
        <v>10794.90</v>
      </c>
      <c r="H1506" t="s">
        <v>1082</v>
      </c>
    </row>
    <row r="1507" spans="5:8" x14ac:dyDescent="0.2">
      <c r="E1507" t="str">
        <f>"10795"</f>
        <v>10795</v>
      </c>
      <c r="H1507" t="s">
        <v>1083</v>
      </c>
    </row>
    <row r="1508" spans="5:8" x14ac:dyDescent="0.2">
      <c r="F1508" t="str">
        <f>"10795.1"</f>
        <v>10795.1</v>
      </c>
      <c r="H1508" t="s">
        <v>1084</v>
      </c>
    </row>
    <row r="1509" spans="5:8" x14ac:dyDescent="0.2">
      <c r="G1509" t="str">
        <f>"10795.10"</f>
        <v>10795.10</v>
      </c>
      <c r="H1509" t="s">
        <v>1084</v>
      </c>
    </row>
    <row r="1510" spans="5:8" x14ac:dyDescent="0.2">
      <c r="F1510" t="str">
        <f>"10795.9"</f>
        <v>10795.9</v>
      </c>
      <c r="H1510" t="s">
        <v>1085</v>
      </c>
    </row>
    <row r="1511" spans="5:8" x14ac:dyDescent="0.2">
      <c r="G1511" t="str">
        <f>"10795.90"</f>
        <v>10795.90</v>
      </c>
      <c r="H1511" t="s">
        <v>1085</v>
      </c>
    </row>
    <row r="1512" spans="5:8" x14ac:dyDescent="0.2">
      <c r="E1512" t="str">
        <f>"10796"</f>
        <v>10796</v>
      </c>
      <c r="H1512" t="s">
        <v>1086</v>
      </c>
    </row>
    <row r="1513" spans="5:8" x14ac:dyDescent="0.2">
      <c r="F1513" t="str">
        <f>"10796.1"</f>
        <v>10796.1</v>
      </c>
      <c r="H1513" t="s">
        <v>1086</v>
      </c>
    </row>
    <row r="1514" spans="5:8" x14ac:dyDescent="0.2">
      <c r="G1514" t="str">
        <f>"10796.10"</f>
        <v>10796.10</v>
      </c>
      <c r="H1514" t="s">
        <v>1086</v>
      </c>
    </row>
    <row r="1515" spans="5:8" x14ac:dyDescent="0.2">
      <c r="F1515" t="str">
        <f>"10796.9"</f>
        <v>10796.9</v>
      </c>
      <c r="H1515" t="s">
        <v>1087</v>
      </c>
    </row>
    <row r="1516" spans="5:8" x14ac:dyDescent="0.2">
      <c r="G1516" t="str">
        <f>"10796.90"</f>
        <v>10796.90</v>
      </c>
      <c r="H1516" t="s">
        <v>1087</v>
      </c>
    </row>
    <row r="1517" spans="5:8" x14ac:dyDescent="0.2">
      <c r="E1517" t="str">
        <f>"10799"</f>
        <v>10799</v>
      </c>
      <c r="H1517" t="s">
        <v>1070</v>
      </c>
    </row>
    <row r="1518" spans="5:8" x14ac:dyDescent="0.2">
      <c r="F1518" t="str">
        <f>"10799.1"</f>
        <v>10799.1</v>
      </c>
      <c r="H1518" t="s">
        <v>1088</v>
      </c>
    </row>
    <row r="1519" spans="5:8" x14ac:dyDescent="0.2">
      <c r="G1519" t="str">
        <f>"10799.11"</f>
        <v>10799.11</v>
      </c>
      <c r="H1519" t="s">
        <v>1089</v>
      </c>
    </row>
    <row r="1520" spans="5:8" x14ac:dyDescent="0.2">
      <c r="G1520" t="str">
        <f>"10799.12"</f>
        <v>10799.12</v>
      </c>
      <c r="H1520" t="s">
        <v>1090</v>
      </c>
    </row>
    <row r="1521" spans="3:8" x14ac:dyDescent="0.2">
      <c r="F1521" t="str">
        <f>"10799.2"</f>
        <v>10799.2</v>
      </c>
      <c r="H1521" t="s">
        <v>1070</v>
      </c>
    </row>
    <row r="1522" spans="3:8" x14ac:dyDescent="0.2">
      <c r="G1522" t="str">
        <f>"10799.21"</f>
        <v>10799.21</v>
      </c>
      <c r="H1522" t="s">
        <v>1091</v>
      </c>
    </row>
    <row r="1523" spans="3:8" x14ac:dyDescent="0.2">
      <c r="G1523" t="str">
        <f>"10799.29"</f>
        <v>10799.29</v>
      </c>
      <c r="H1523" t="s">
        <v>1092</v>
      </c>
    </row>
    <row r="1524" spans="3:8" x14ac:dyDescent="0.2">
      <c r="F1524" t="str">
        <f>"10799.9"</f>
        <v>10799.9</v>
      </c>
      <c r="H1524" t="s">
        <v>1093</v>
      </c>
    </row>
    <row r="1525" spans="3:8" x14ac:dyDescent="0.2">
      <c r="G1525" t="str">
        <f>"10799.90"</f>
        <v>10799.90</v>
      </c>
      <c r="H1525" t="s">
        <v>1093</v>
      </c>
    </row>
    <row r="1526" spans="3:8" x14ac:dyDescent="0.2">
      <c r="C1526" t="str">
        <f>"108"</f>
        <v>108</v>
      </c>
      <c r="H1526" t="s">
        <v>1094</v>
      </c>
    </row>
    <row r="1527" spans="3:8" x14ac:dyDescent="0.2">
      <c r="D1527" t="str">
        <f>"1080"</f>
        <v>1080</v>
      </c>
      <c r="H1527" t="s">
        <v>1094</v>
      </c>
    </row>
    <row r="1528" spans="3:8" x14ac:dyDescent="0.2">
      <c r="E1528" t="str">
        <f>"10801"</f>
        <v>10801</v>
      </c>
      <c r="H1528" t="s">
        <v>1095</v>
      </c>
    </row>
    <row r="1529" spans="3:8" x14ac:dyDescent="0.2">
      <c r="F1529" t="str">
        <f>"10801.1"</f>
        <v>10801.1</v>
      </c>
      <c r="H1529" t="s">
        <v>1096</v>
      </c>
    </row>
    <row r="1530" spans="3:8" x14ac:dyDescent="0.2">
      <c r="G1530" t="str">
        <f>"10801.10"</f>
        <v>10801.10</v>
      </c>
      <c r="H1530" t="s">
        <v>1096</v>
      </c>
    </row>
    <row r="1531" spans="3:8" x14ac:dyDescent="0.2">
      <c r="F1531" t="str">
        <f>"10801.9"</f>
        <v>10801.9</v>
      </c>
      <c r="H1531" t="s">
        <v>1097</v>
      </c>
    </row>
    <row r="1532" spans="3:8" x14ac:dyDescent="0.2">
      <c r="G1532" t="str">
        <f>"10801.90"</f>
        <v>10801.90</v>
      </c>
      <c r="H1532" t="s">
        <v>1097</v>
      </c>
    </row>
    <row r="1533" spans="3:8" x14ac:dyDescent="0.2">
      <c r="E1533" t="str">
        <f>"10802"</f>
        <v>10802</v>
      </c>
      <c r="H1533" t="s">
        <v>1098</v>
      </c>
    </row>
    <row r="1534" spans="3:8" x14ac:dyDescent="0.2">
      <c r="F1534" t="str">
        <f>"10802.1"</f>
        <v>10802.1</v>
      </c>
      <c r="H1534" t="s">
        <v>1099</v>
      </c>
    </row>
    <row r="1535" spans="3:8" x14ac:dyDescent="0.2">
      <c r="G1535" t="str">
        <f>"10802.10"</f>
        <v>10802.10</v>
      </c>
      <c r="H1535" t="s">
        <v>1099</v>
      </c>
    </row>
    <row r="1536" spans="3:8" x14ac:dyDescent="0.2">
      <c r="F1536" t="str">
        <f>"10802.2"</f>
        <v>10802.2</v>
      </c>
      <c r="H1536" t="s">
        <v>1100</v>
      </c>
    </row>
    <row r="1537" spans="2:8" x14ac:dyDescent="0.2">
      <c r="G1537" t="str">
        <f>"10802.20"</f>
        <v>10802.20</v>
      </c>
      <c r="H1537" t="s">
        <v>1100</v>
      </c>
    </row>
    <row r="1538" spans="2:8" x14ac:dyDescent="0.2">
      <c r="F1538" t="str">
        <f>"10802.9"</f>
        <v>10802.9</v>
      </c>
      <c r="H1538" t="s">
        <v>1101</v>
      </c>
    </row>
    <row r="1539" spans="2:8" x14ac:dyDescent="0.2">
      <c r="G1539" t="str">
        <f>"10802.90"</f>
        <v>10802.90</v>
      </c>
      <c r="H1539" t="s">
        <v>1101</v>
      </c>
    </row>
    <row r="1540" spans="2:8" x14ac:dyDescent="0.2">
      <c r="B1540" t="str">
        <f>"11"</f>
        <v>11</v>
      </c>
      <c r="H1540" t="s">
        <v>1102</v>
      </c>
    </row>
    <row r="1541" spans="2:8" x14ac:dyDescent="0.2">
      <c r="C1541" t="str">
        <f>"110"</f>
        <v>110</v>
      </c>
      <c r="H1541" t="s">
        <v>1102</v>
      </c>
    </row>
    <row r="1542" spans="2:8" x14ac:dyDescent="0.2">
      <c r="D1542" t="str">
        <f>"1101"</f>
        <v>1101</v>
      </c>
      <c r="H1542" t="s">
        <v>1103</v>
      </c>
    </row>
    <row r="1543" spans="2:8" x14ac:dyDescent="0.2">
      <c r="E1543" t="str">
        <f>"11011"</f>
        <v>11011</v>
      </c>
      <c r="H1543" t="s">
        <v>1104</v>
      </c>
    </row>
    <row r="1544" spans="2:8" x14ac:dyDescent="0.2">
      <c r="F1544" t="str">
        <f>"11011.1"</f>
        <v>11011.1</v>
      </c>
      <c r="H1544" t="s">
        <v>1105</v>
      </c>
    </row>
    <row r="1545" spans="2:8" x14ac:dyDescent="0.2">
      <c r="G1545" t="str">
        <f>"11011.10"</f>
        <v>11011.10</v>
      </c>
      <c r="H1545" t="s">
        <v>1105</v>
      </c>
    </row>
    <row r="1546" spans="2:8" x14ac:dyDescent="0.2">
      <c r="F1546" t="str">
        <f>"11011.9"</f>
        <v>11011.9</v>
      </c>
      <c r="H1546" t="s">
        <v>1106</v>
      </c>
    </row>
    <row r="1547" spans="2:8" x14ac:dyDescent="0.2">
      <c r="G1547" t="str">
        <f>"11011.90"</f>
        <v>11011.90</v>
      </c>
      <c r="H1547" t="s">
        <v>1106</v>
      </c>
    </row>
    <row r="1548" spans="2:8" x14ac:dyDescent="0.2">
      <c r="E1548" t="str">
        <f>"11012"</f>
        <v>11012</v>
      </c>
      <c r="H1548" t="s">
        <v>1107</v>
      </c>
    </row>
    <row r="1549" spans="2:8" x14ac:dyDescent="0.2">
      <c r="F1549" t="str">
        <f>"11012.1"</f>
        <v>11012.1</v>
      </c>
      <c r="H1549" t="s">
        <v>1108</v>
      </c>
    </row>
    <row r="1550" spans="2:8" x14ac:dyDescent="0.2">
      <c r="G1550" t="str">
        <f>"11012.10"</f>
        <v>11012.10</v>
      </c>
      <c r="H1550" t="s">
        <v>1108</v>
      </c>
    </row>
    <row r="1551" spans="2:8" x14ac:dyDescent="0.2">
      <c r="F1551" t="str">
        <f>"11012.9"</f>
        <v>11012.9</v>
      </c>
      <c r="H1551" t="s">
        <v>1109</v>
      </c>
    </row>
    <row r="1552" spans="2:8" x14ac:dyDescent="0.2">
      <c r="G1552" t="str">
        <f>"11012.90"</f>
        <v>11012.90</v>
      </c>
      <c r="H1552" t="s">
        <v>1109</v>
      </c>
    </row>
    <row r="1553" spans="4:8" x14ac:dyDescent="0.2">
      <c r="D1553" t="str">
        <f>"1102"</f>
        <v>1102</v>
      </c>
      <c r="H1553" t="s">
        <v>1110</v>
      </c>
    </row>
    <row r="1554" spans="4:8" x14ac:dyDescent="0.2">
      <c r="E1554" t="str">
        <f>"11021"</f>
        <v>11021</v>
      </c>
      <c r="H1554" t="s">
        <v>1111</v>
      </c>
    </row>
    <row r="1555" spans="4:8" x14ac:dyDescent="0.2">
      <c r="F1555" t="str">
        <f>"11021.1"</f>
        <v>11021.1</v>
      </c>
      <c r="H1555" t="s">
        <v>1111</v>
      </c>
    </row>
    <row r="1556" spans="4:8" x14ac:dyDescent="0.2">
      <c r="G1556" t="str">
        <f>"11021.11"</f>
        <v>11021.11</v>
      </c>
      <c r="H1556" t="s">
        <v>1112</v>
      </c>
    </row>
    <row r="1557" spans="4:8" x14ac:dyDescent="0.2">
      <c r="G1557" t="str">
        <f>"11021.12"</f>
        <v>11021.12</v>
      </c>
      <c r="H1557" t="s">
        <v>1113</v>
      </c>
    </row>
    <row r="1558" spans="4:8" x14ac:dyDescent="0.2">
      <c r="G1558" t="str">
        <f>"11021.13"</f>
        <v>11021.13</v>
      </c>
      <c r="H1558" t="s">
        <v>1114</v>
      </c>
    </row>
    <row r="1559" spans="4:8" x14ac:dyDescent="0.2">
      <c r="F1559" t="str">
        <f>"11021.2"</f>
        <v>11021.2</v>
      </c>
      <c r="H1559" t="s">
        <v>1115</v>
      </c>
    </row>
    <row r="1560" spans="4:8" x14ac:dyDescent="0.2">
      <c r="G1560" t="str">
        <f>"11021.20"</f>
        <v>11021.20</v>
      </c>
      <c r="H1560" t="s">
        <v>1115</v>
      </c>
    </row>
    <row r="1561" spans="4:8" x14ac:dyDescent="0.2">
      <c r="F1561" t="str">
        <f>"11021.9"</f>
        <v>11021.9</v>
      </c>
      <c r="H1561" t="s">
        <v>1116</v>
      </c>
    </row>
    <row r="1562" spans="4:8" x14ac:dyDescent="0.2">
      <c r="G1562" t="str">
        <f>"11021.91"</f>
        <v>11021.91</v>
      </c>
      <c r="H1562" t="s">
        <v>1117</v>
      </c>
    </row>
    <row r="1563" spans="4:8" x14ac:dyDescent="0.2">
      <c r="G1563" t="str">
        <f>"11021.92"</f>
        <v>11021.92</v>
      </c>
      <c r="H1563" t="s">
        <v>1118</v>
      </c>
    </row>
    <row r="1564" spans="4:8" x14ac:dyDescent="0.2">
      <c r="E1564" t="str">
        <f>"11022"</f>
        <v>11022</v>
      </c>
      <c r="H1564" t="s">
        <v>1119</v>
      </c>
    </row>
    <row r="1565" spans="4:8" x14ac:dyDescent="0.2">
      <c r="F1565" t="str">
        <f>"11022.1"</f>
        <v>11022.1</v>
      </c>
      <c r="H1565" t="s">
        <v>1120</v>
      </c>
    </row>
    <row r="1566" spans="4:8" x14ac:dyDescent="0.2">
      <c r="G1566" t="str">
        <f>"11022.10"</f>
        <v>11022.10</v>
      </c>
      <c r="H1566" t="s">
        <v>1120</v>
      </c>
    </row>
    <row r="1567" spans="4:8" x14ac:dyDescent="0.2">
      <c r="F1567" t="str">
        <f>"11022.9"</f>
        <v>11022.9</v>
      </c>
      <c r="H1567" t="s">
        <v>1121</v>
      </c>
    </row>
    <row r="1568" spans="4:8" x14ac:dyDescent="0.2">
      <c r="G1568" t="str">
        <f>"11022.90"</f>
        <v>11022.90</v>
      </c>
      <c r="H1568" t="s">
        <v>1121</v>
      </c>
    </row>
    <row r="1569" spans="4:8" x14ac:dyDescent="0.2">
      <c r="E1569" t="str">
        <f>"11029"</f>
        <v>11029</v>
      </c>
      <c r="H1569" t="s">
        <v>1122</v>
      </c>
    </row>
    <row r="1570" spans="4:8" x14ac:dyDescent="0.2">
      <c r="F1570" t="str">
        <f>"11029.1"</f>
        <v>11029.1</v>
      </c>
      <c r="H1570" t="s">
        <v>1123</v>
      </c>
    </row>
    <row r="1571" spans="4:8" x14ac:dyDescent="0.2">
      <c r="G1571" t="str">
        <f>"11029.10"</f>
        <v>11029.10</v>
      </c>
      <c r="H1571" t="s">
        <v>1123</v>
      </c>
    </row>
    <row r="1572" spans="4:8" x14ac:dyDescent="0.2">
      <c r="F1572" t="str">
        <f>"11029.9"</f>
        <v>11029.9</v>
      </c>
      <c r="H1572" t="s">
        <v>1124</v>
      </c>
    </row>
    <row r="1573" spans="4:8" x14ac:dyDescent="0.2">
      <c r="G1573" t="str">
        <f>"11029.90"</f>
        <v>11029.90</v>
      </c>
      <c r="H1573" t="s">
        <v>1124</v>
      </c>
    </row>
    <row r="1574" spans="4:8" x14ac:dyDescent="0.2">
      <c r="D1574" t="str">
        <f>"1103"</f>
        <v>1103</v>
      </c>
      <c r="H1574" t="s">
        <v>1125</v>
      </c>
    </row>
    <row r="1575" spans="4:8" x14ac:dyDescent="0.2">
      <c r="E1575" t="str">
        <f>"11030"</f>
        <v>11030</v>
      </c>
      <c r="H1575" t="s">
        <v>1125</v>
      </c>
    </row>
    <row r="1576" spans="4:8" x14ac:dyDescent="0.2">
      <c r="F1576" t="str">
        <f>"11030.1"</f>
        <v>11030.1</v>
      </c>
      <c r="H1576" t="s">
        <v>1126</v>
      </c>
    </row>
    <row r="1577" spans="4:8" x14ac:dyDescent="0.2">
      <c r="G1577" t="str">
        <f>"11030.11"</f>
        <v>11030.11</v>
      </c>
      <c r="H1577" t="s">
        <v>1127</v>
      </c>
    </row>
    <row r="1578" spans="4:8" x14ac:dyDescent="0.2">
      <c r="G1578" t="str">
        <f>"11030.12"</f>
        <v>11030.12</v>
      </c>
      <c r="H1578" t="s">
        <v>1128</v>
      </c>
    </row>
    <row r="1579" spans="4:8" x14ac:dyDescent="0.2">
      <c r="F1579" t="str">
        <f>"11030.2"</f>
        <v>11030.2</v>
      </c>
      <c r="H1579" t="s">
        <v>1129</v>
      </c>
    </row>
    <row r="1580" spans="4:8" x14ac:dyDescent="0.2">
      <c r="G1580" t="str">
        <f>"11030.20"</f>
        <v>11030.20</v>
      </c>
      <c r="H1580" t="s">
        <v>1129</v>
      </c>
    </row>
    <row r="1581" spans="4:8" x14ac:dyDescent="0.2">
      <c r="F1581" t="str">
        <f>"11030.9"</f>
        <v>11030.9</v>
      </c>
      <c r="H1581" t="s">
        <v>1130</v>
      </c>
    </row>
    <row r="1582" spans="4:8" x14ac:dyDescent="0.2">
      <c r="G1582" t="str">
        <f>"11030.91"</f>
        <v>11030.91</v>
      </c>
      <c r="H1582" t="s">
        <v>1131</v>
      </c>
    </row>
    <row r="1583" spans="4:8" x14ac:dyDescent="0.2">
      <c r="G1583" t="str">
        <f>"11030.92"</f>
        <v>11030.92</v>
      </c>
      <c r="H1583" t="s">
        <v>1132</v>
      </c>
    </row>
    <row r="1584" spans="4:8" x14ac:dyDescent="0.2">
      <c r="D1584" t="str">
        <f>"1104"</f>
        <v>1104</v>
      </c>
      <c r="H1584" t="s">
        <v>1133</v>
      </c>
    </row>
    <row r="1585" spans="5:8" x14ac:dyDescent="0.2">
      <c r="E1585" t="str">
        <f>"11041"</f>
        <v>11041</v>
      </c>
      <c r="H1585" t="s">
        <v>1134</v>
      </c>
    </row>
    <row r="1586" spans="5:8" x14ac:dyDescent="0.2">
      <c r="F1586" t="str">
        <f>"11041.1"</f>
        <v>11041.1</v>
      </c>
      <c r="H1586" t="s">
        <v>1135</v>
      </c>
    </row>
    <row r="1587" spans="5:8" x14ac:dyDescent="0.2">
      <c r="G1587" t="str">
        <f>"11041.10"</f>
        <v>11041.10</v>
      </c>
      <c r="H1587" t="s">
        <v>1135</v>
      </c>
    </row>
    <row r="1588" spans="5:8" x14ac:dyDescent="0.2">
      <c r="F1588" t="str">
        <f>"11041.9"</f>
        <v>11041.9</v>
      </c>
      <c r="H1588" t="s">
        <v>1136</v>
      </c>
    </row>
    <row r="1589" spans="5:8" x14ac:dyDescent="0.2">
      <c r="G1589" t="str">
        <f>"11041.90"</f>
        <v>11041.90</v>
      </c>
      <c r="H1589" t="s">
        <v>1136</v>
      </c>
    </row>
    <row r="1590" spans="5:8" x14ac:dyDescent="0.2">
      <c r="E1590" t="str">
        <f>"11042"</f>
        <v>11042</v>
      </c>
      <c r="H1590" t="s">
        <v>1137</v>
      </c>
    </row>
    <row r="1591" spans="5:8" x14ac:dyDescent="0.2">
      <c r="F1591" t="str">
        <f>"11042.1"</f>
        <v>11042.1</v>
      </c>
      <c r="H1591" t="s">
        <v>1138</v>
      </c>
    </row>
    <row r="1592" spans="5:8" x14ac:dyDescent="0.2">
      <c r="G1592" t="str">
        <f>"11042.10"</f>
        <v>11042.10</v>
      </c>
      <c r="H1592" t="s">
        <v>1138</v>
      </c>
    </row>
    <row r="1593" spans="5:8" x14ac:dyDescent="0.2">
      <c r="F1593" t="str">
        <f>"11042.9"</f>
        <v>11042.9</v>
      </c>
      <c r="H1593" t="s">
        <v>1139</v>
      </c>
    </row>
    <row r="1594" spans="5:8" x14ac:dyDescent="0.2">
      <c r="G1594" t="str">
        <f>"11042.90"</f>
        <v>11042.90</v>
      </c>
      <c r="H1594" t="s">
        <v>1139</v>
      </c>
    </row>
    <row r="1595" spans="5:8" x14ac:dyDescent="0.2">
      <c r="E1595" t="str">
        <f>"11043"</f>
        <v>11043</v>
      </c>
      <c r="H1595" t="s">
        <v>1140</v>
      </c>
    </row>
    <row r="1596" spans="5:8" x14ac:dyDescent="0.2">
      <c r="F1596" t="str">
        <f>"11043.1"</f>
        <v>11043.1</v>
      </c>
      <c r="H1596" t="s">
        <v>1141</v>
      </c>
    </row>
    <row r="1597" spans="5:8" x14ac:dyDescent="0.2">
      <c r="G1597" t="str">
        <f>"11043.10"</f>
        <v>11043.10</v>
      </c>
      <c r="H1597" t="s">
        <v>1141</v>
      </c>
    </row>
    <row r="1598" spans="5:8" x14ac:dyDescent="0.2">
      <c r="F1598" t="str">
        <f>"11043.9"</f>
        <v>11043.9</v>
      </c>
      <c r="H1598" t="s">
        <v>1142</v>
      </c>
    </row>
    <row r="1599" spans="5:8" x14ac:dyDescent="0.2">
      <c r="G1599" t="str">
        <f>"11043.90"</f>
        <v>11043.90</v>
      </c>
      <c r="H1599" t="s">
        <v>1142</v>
      </c>
    </row>
    <row r="1600" spans="5:8" x14ac:dyDescent="0.2">
      <c r="E1600" t="str">
        <f>"11044"</f>
        <v>11044</v>
      </c>
      <c r="H1600" t="s">
        <v>1143</v>
      </c>
    </row>
    <row r="1601" spans="2:8" x14ac:dyDescent="0.2">
      <c r="F1601" t="str">
        <f>"11044.1"</f>
        <v>11044.1</v>
      </c>
      <c r="H1601" t="s">
        <v>1144</v>
      </c>
    </row>
    <row r="1602" spans="2:8" x14ac:dyDescent="0.2">
      <c r="G1602" t="str">
        <f>"11044.10"</f>
        <v>11044.10</v>
      </c>
      <c r="H1602" t="s">
        <v>1144</v>
      </c>
    </row>
    <row r="1603" spans="2:8" x14ac:dyDescent="0.2">
      <c r="F1603" t="str">
        <f>"11044.9"</f>
        <v>11044.9</v>
      </c>
      <c r="H1603" t="s">
        <v>1145</v>
      </c>
    </row>
    <row r="1604" spans="2:8" x14ac:dyDescent="0.2">
      <c r="G1604" t="str">
        <f>"11044.90"</f>
        <v>11044.90</v>
      </c>
      <c r="H1604" t="s">
        <v>1145</v>
      </c>
    </row>
    <row r="1605" spans="2:8" x14ac:dyDescent="0.2">
      <c r="E1605" t="str">
        <f>"11049"</f>
        <v>11049</v>
      </c>
      <c r="H1605" t="s">
        <v>1146</v>
      </c>
    </row>
    <row r="1606" spans="2:8" x14ac:dyDescent="0.2">
      <c r="F1606" t="str">
        <f>"11049.1"</f>
        <v>11049.1</v>
      </c>
      <c r="H1606" t="s">
        <v>1147</v>
      </c>
    </row>
    <row r="1607" spans="2:8" x14ac:dyDescent="0.2">
      <c r="G1607" t="str">
        <f>"11049.10"</f>
        <v>11049.10</v>
      </c>
      <c r="H1607" t="s">
        <v>1148</v>
      </c>
    </row>
    <row r="1608" spans="2:8" x14ac:dyDescent="0.2">
      <c r="F1608" t="str">
        <f>"11049.9"</f>
        <v>11049.9</v>
      </c>
      <c r="H1608" t="s">
        <v>1149</v>
      </c>
    </row>
    <row r="1609" spans="2:8" x14ac:dyDescent="0.2">
      <c r="G1609" t="str">
        <f>"11049.90"</f>
        <v>11049.90</v>
      </c>
      <c r="H1609" t="s">
        <v>1149</v>
      </c>
    </row>
    <row r="1610" spans="2:8" x14ac:dyDescent="0.2">
      <c r="B1610" t="str">
        <f>"12"</f>
        <v>12</v>
      </c>
      <c r="H1610" t="s">
        <v>1150</v>
      </c>
    </row>
    <row r="1611" spans="2:8" x14ac:dyDescent="0.2">
      <c r="C1611" t="str">
        <f>"120"</f>
        <v>120</v>
      </c>
      <c r="H1611" t="s">
        <v>1150</v>
      </c>
    </row>
    <row r="1612" spans="2:8" x14ac:dyDescent="0.2">
      <c r="D1612" t="str">
        <f>"1200"</f>
        <v>1200</v>
      </c>
      <c r="H1612" t="s">
        <v>1150</v>
      </c>
    </row>
    <row r="1613" spans="2:8" x14ac:dyDescent="0.2">
      <c r="E1613" t="str">
        <f>"12001"</f>
        <v>12001</v>
      </c>
      <c r="H1613" t="s">
        <v>1151</v>
      </c>
    </row>
    <row r="1614" spans="2:8" x14ac:dyDescent="0.2">
      <c r="F1614" t="str">
        <f>"12001.1"</f>
        <v>12001.1</v>
      </c>
      <c r="H1614" t="s">
        <v>1152</v>
      </c>
    </row>
    <row r="1615" spans="2:8" x14ac:dyDescent="0.2">
      <c r="G1615" t="str">
        <f>"12001.10"</f>
        <v>12001.10</v>
      </c>
      <c r="H1615" t="s">
        <v>1152</v>
      </c>
    </row>
    <row r="1616" spans="2:8" x14ac:dyDescent="0.2">
      <c r="F1616" t="str">
        <f>"12001.9"</f>
        <v>12001.9</v>
      </c>
      <c r="H1616" t="s">
        <v>1153</v>
      </c>
    </row>
    <row r="1617" spans="2:8" x14ac:dyDescent="0.2">
      <c r="G1617" t="str">
        <f>"12001.90"</f>
        <v>12001.90</v>
      </c>
      <c r="H1617" t="s">
        <v>1153</v>
      </c>
    </row>
    <row r="1618" spans="2:8" x14ac:dyDescent="0.2">
      <c r="E1618" t="str">
        <f>"12002"</f>
        <v>12002</v>
      </c>
      <c r="H1618" t="s">
        <v>1154</v>
      </c>
    </row>
    <row r="1619" spans="2:8" x14ac:dyDescent="0.2">
      <c r="F1619" t="str">
        <f>"12002.1"</f>
        <v>12002.1</v>
      </c>
      <c r="H1619" t="s">
        <v>1155</v>
      </c>
    </row>
    <row r="1620" spans="2:8" x14ac:dyDescent="0.2">
      <c r="G1620" t="str">
        <f>"12002.10"</f>
        <v>12002.10</v>
      </c>
      <c r="H1620" t="s">
        <v>1155</v>
      </c>
    </row>
    <row r="1621" spans="2:8" x14ac:dyDescent="0.2">
      <c r="F1621" t="str">
        <f>"12002.9"</f>
        <v>12002.9</v>
      </c>
      <c r="H1621" t="s">
        <v>1156</v>
      </c>
    </row>
    <row r="1622" spans="2:8" x14ac:dyDescent="0.2">
      <c r="G1622" t="str">
        <f>"12002.90"</f>
        <v>12002.90</v>
      </c>
      <c r="H1622" t="s">
        <v>1156</v>
      </c>
    </row>
    <row r="1623" spans="2:8" x14ac:dyDescent="0.2">
      <c r="E1623" t="str">
        <f>"12009"</f>
        <v>12009</v>
      </c>
      <c r="H1623" t="s">
        <v>1157</v>
      </c>
    </row>
    <row r="1624" spans="2:8" x14ac:dyDescent="0.2">
      <c r="F1624" t="str">
        <f>"12009.1"</f>
        <v>12009.1</v>
      </c>
      <c r="H1624" t="s">
        <v>1158</v>
      </c>
    </row>
    <row r="1625" spans="2:8" x14ac:dyDescent="0.2">
      <c r="G1625" t="str">
        <f>"12009.10"</f>
        <v>12009.10</v>
      </c>
      <c r="H1625" t="s">
        <v>1158</v>
      </c>
    </row>
    <row r="1626" spans="2:8" x14ac:dyDescent="0.2">
      <c r="F1626" t="str">
        <f>"12009.9"</f>
        <v>12009.9</v>
      </c>
      <c r="H1626" t="s">
        <v>1159</v>
      </c>
    </row>
    <row r="1627" spans="2:8" x14ac:dyDescent="0.2">
      <c r="G1627" t="str">
        <f>"12009.90"</f>
        <v>12009.90</v>
      </c>
      <c r="H1627" t="s">
        <v>1159</v>
      </c>
    </row>
    <row r="1628" spans="2:8" x14ac:dyDescent="0.2">
      <c r="B1628" t="str">
        <f>"13"</f>
        <v>13</v>
      </c>
      <c r="H1628" t="s">
        <v>1160</v>
      </c>
    </row>
    <row r="1629" spans="2:8" x14ac:dyDescent="0.2">
      <c r="C1629" t="str">
        <f>"131"</f>
        <v>131</v>
      </c>
      <c r="H1629" t="s">
        <v>1161</v>
      </c>
    </row>
    <row r="1630" spans="2:8" x14ac:dyDescent="0.2">
      <c r="D1630" t="str">
        <f>"1311"</f>
        <v>1311</v>
      </c>
      <c r="H1630" t="s">
        <v>1162</v>
      </c>
    </row>
    <row r="1631" spans="2:8" x14ac:dyDescent="0.2">
      <c r="E1631" t="str">
        <f>"13111"</f>
        <v>13111</v>
      </c>
      <c r="H1631" t="s">
        <v>1163</v>
      </c>
    </row>
    <row r="1632" spans="2:8" x14ac:dyDescent="0.2">
      <c r="F1632" t="str">
        <f>"13111.1"</f>
        <v>13111.1</v>
      </c>
      <c r="H1632" t="s">
        <v>1164</v>
      </c>
    </row>
    <row r="1633" spans="6:8" x14ac:dyDescent="0.2">
      <c r="G1633" t="str">
        <f>"13111.10"</f>
        <v>13111.10</v>
      </c>
      <c r="H1633" t="s">
        <v>1164</v>
      </c>
    </row>
    <row r="1634" spans="6:8" x14ac:dyDescent="0.2">
      <c r="F1634" t="str">
        <f>"13111.2"</f>
        <v>13111.2</v>
      </c>
      <c r="H1634" t="s">
        <v>1165</v>
      </c>
    </row>
    <row r="1635" spans="6:8" x14ac:dyDescent="0.2">
      <c r="G1635" t="str">
        <f>"13111.21"</f>
        <v>13111.21</v>
      </c>
      <c r="H1635" t="s">
        <v>1166</v>
      </c>
    </row>
    <row r="1636" spans="6:8" x14ac:dyDescent="0.2">
      <c r="G1636" t="str">
        <f>"13111.22"</f>
        <v>13111.22</v>
      </c>
      <c r="H1636" t="s">
        <v>1167</v>
      </c>
    </row>
    <row r="1637" spans="6:8" x14ac:dyDescent="0.2">
      <c r="G1637" t="str">
        <f>"13111.23"</f>
        <v>13111.23</v>
      </c>
      <c r="H1637" t="s">
        <v>1168</v>
      </c>
    </row>
    <row r="1638" spans="6:8" x14ac:dyDescent="0.2">
      <c r="G1638" t="str">
        <f>"13111.24"</f>
        <v>13111.24</v>
      </c>
      <c r="H1638" t="s">
        <v>1169</v>
      </c>
    </row>
    <row r="1639" spans="6:8" x14ac:dyDescent="0.2">
      <c r="G1639" t="str">
        <f>"13111.25"</f>
        <v>13111.25</v>
      </c>
      <c r="H1639" t="s">
        <v>1170</v>
      </c>
    </row>
    <row r="1640" spans="6:8" x14ac:dyDescent="0.2">
      <c r="G1640" t="str">
        <f>"13111.26"</f>
        <v>13111.26</v>
      </c>
      <c r="H1640" t="s">
        <v>1171</v>
      </c>
    </row>
    <row r="1641" spans="6:8" x14ac:dyDescent="0.2">
      <c r="G1641" t="str">
        <f>"13111.29"</f>
        <v>13111.29</v>
      </c>
      <c r="H1641" t="s">
        <v>1172</v>
      </c>
    </row>
    <row r="1642" spans="6:8" x14ac:dyDescent="0.2">
      <c r="F1642" t="str">
        <f>"13111.3"</f>
        <v>13111.3</v>
      </c>
      <c r="H1642" t="s">
        <v>1173</v>
      </c>
    </row>
    <row r="1643" spans="6:8" x14ac:dyDescent="0.2">
      <c r="G1643" t="str">
        <f>"13111.31"</f>
        <v>13111.31</v>
      </c>
      <c r="H1643" t="s">
        <v>1174</v>
      </c>
    </row>
    <row r="1644" spans="6:8" x14ac:dyDescent="0.2">
      <c r="G1644" t="str">
        <f>"13111.32"</f>
        <v>13111.32</v>
      </c>
      <c r="H1644" t="s">
        <v>1175</v>
      </c>
    </row>
    <row r="1645" spans="6:8" x14ac:dyDescent="0.2">
      <c r="F1645" t="str">
        <f>"13111.4"</f>
        <v>13111.4</v>
      </c>
      <c r="H1645" t="s">
        <v>1176</v>
      </c>
    </row>
    <row r="1646" spans="6:8" x14ac:dyDescent="0.2">
      <c r="G1646" t="str">
        <f>"13111.41"</f>
        <v>13111.41</v>
      </c>
      <c r="H1646" t="s">
        <v>1177</v>
      </c>
    </row>
    <row r="1647" spans="6:8" x14ac:dyDescent="0.2">
      <c r="G1647" t="str">
        <f>"13111.42"</f>
        <v>13111.42</v>
      </c>
      <c r="H1647" t="s">
        <v>1178</v>
      </c>
    </row>
    <row r="1648" spans="6:8" x14ac:dyDescent="0.2">
      <c r="F1648" t="str">
        <f>"13111.9"</f>
        <v>13111.9</v>
      </c>
      <c r="H1648" t="s">
        <v>1179</v>
      </c>
    </row>
    <row r="1649" spans="5:8" x14ac:dyDescent="0.2">
      <c r="G1649" t="str">
        <f>"13111.90"</f>
        <v>13111.90</v>
      </c>
      <c r="H1649" t="s">
        <v>1179</v>
      </c>
    </row>
    <row r="1650" spans="5:8" x14ac:dyDescent="0.2">
      <c r="E1650" t="str">
        <f>"13112"</f>
        <v>13112</v>
      </c>
      <c r="H1650" t="s">
        <v>1180</v>
      </c>
    </row>
    <row r="1651" spans="5:8" x14ac:dyDescent="0.2">
      <c r="F1651" t="str">
        <f>"13112.1"</f>
        <v>13112.1</v>
      </c>
      <c r="H1651" t="s">
        <v>1181</v>
      </c>
    </row>
    <row r="1652" spans="5:8" x14ac:dyDescent="0.2">
      <c r="G1652" t="str">
        <f>"13112.10"</f>
        <v>13112.10</v>
      </c>
      <c r="H1652" t="s">
        <v>1181</v>
      </c>
    </row>
    <row r="1653" spans="5:8" x14ac:dyDescent="0.2">
      <c r="F1653" t="str">
        <f>"13112.2"</f>
        <v>13112.2</v>
      </c>
      <c r="H1653" t="s">
        <v>1182</v>
      </c>
    </row>
    <row r="1654" spans="5:8" x14ac:dyDescent="0.2">
      <c r="G1654" t="str">
        <f>"13112.20"</f>
        <v>13112.20</v>
      </c>
      <c r="H1654" t="s">
        <v>1182</v>
      </c>
    </row>
    <row r="1655" spans="5:8" x14ac:dyDescent="0.2">
      <c r="F1655" t="str">
        <f>"13112.3"</f>
        <v>13112.3</v>
      </c>
      <c r="H1655" t="s">
        <v>1183</v>
      </c>
    </row>
    <row r="1656" spans="5:8" x14ac:dyDescent="0.2">
      <c r="G1656" t="str">
        <f>"13112.31"</f>
        <v>13112.31</v>
      </c>
      <c r="H1656" t="s">
        <v>1184</v>
      </c>
    </row>
    <row r="1657" spans="5:8" x14ac:dyDescent="0.2">
      <c r="G1657" t="str">
        <f>"13112.32"</f>
        <v>13112.32</v>
      </c>
      <c r="H1657" t="s">
        <v>1185</v>
      </c>
    </row>
    <row r="1658" spans="5:8" x14ac:dyDescent="0.2">
      <c r="F1658" t="str">
        <f>"13112.4"</f>
        <v>13112.4</v>
      </c>
      <c r="H1658" t="s">
        <v>1186</v>
      </c>
    </row>
    <row r="1659" spans="5:8" x14ac:dyDescent="0.2">
      <c r="G1659" t="str">
        <f>"13112.41"</f>
        <v>13112.41</v>
      </c>
      <c r="H1659" t="s">
        <v>1187</v>
      </c>
    </row>
    <row r="1660" spans="5:8" x14ac:dyDescent="0.2">
      <c r="G1660" t="str">
        <f>"13112.42"</f>
        <v>13112.42</v>
      </c>
      <c r="H1660" t="s">
        <v>1188</v>
      </c>
    </row>
    <row r="1661" spans="5:8" x14ac:dyDescent="0.2">
      <c r="E1661" t="str">
        <f>"13113"</f>
        <v>13113</v>
      </c>
      <c r="H1661" t="s">
        <v>1189</v>
      </c>
    </row>
    <row r="1662" spans="5:8" x14ac:dyDescent="0.2">
      <c r="F1662" t="str">
        <f>"13113.1"</f>
        <v>13113.1</v>
      </c>
      <c r="H1662" t="s">
        <v>1189</v>
      </c>
    </row>
    <row r="1663" spans="5:8" x14ac:dyDescent="0.2">
      <c r="G1663" t="str">
        <f>"13113.11"</f>
        <v>13113.11</v>
      </c>
      <c r="H1663" t="s">
        <v>1190</v>
      </c>
    </row>
    <row r="1664" spans="5:8" x14ac:dyDescent="0.2">
      <c r="G1664" t="str">
        <f>"13113.12"</f>
        <v>13113.12</v>
      </c>
      <c r="H1664" t="s">
        <v>1191</v>
      </c>
    </row>
    <row r="1665" spans="4:8" x14ac:dyDescent="0.2">
      <c r="G1665" t="str">
        <f>"13113.13"</f>
        <v>13113.13</v>
      </c>
      <c r="H1665" t="s">
        <v>1192</v>
      </c>
    </row>
    <row r="1666" spans="4:8" x14ac:dyDescent="0.2">
      <c r="G1666" t="str">
        <f>"13113.14"</f>
        <v>13113.14</v>
      </c>
      <c r="H1666" t="s">
        <v>1193</v>
      </c>
    </row>
    <row r="1667" spans="4:8" x14ac:dyDescent="0.2">
      <c r="F1667" t="str">
        <f>"13113.9"</f>
        <v>13113.9</v>
      </c>
      <c r="H1667" t="s">
        <v>1194</v>
      </c>
    </row>
    <row r="1668" spans="4:8" x14ac:dyDescent="0.2">
      <c r="G1668" t="str">
        <f>"13113.90"</f>
        <v>13113.90</v>
      </c>
      <c r="H1668" t="s">
        <v>1194</v>
      </c>
    </row>
    <row r="1669" spans="4:8" x14ac:dyDescent="0.2">
      <c r="D1669" t="str">
        <f>"1312"</f>
        <v>1312</v>
      </c>
      <c r="H1669" t="s">
        <v>1195</v>
      </c>
    </row>
    <row r="1670" spans="4:8" x14ac:dyDescent="0.2">
      <c r="E1670" t="str">
        <f>"13121"</f>
        <v>13121</v>
      </c>
      <c r="H1670" t="s">
        <v>1196</v>
      </c>
    </row>
    <row r="1671" spans="4:8" x14ac:dyDescent="0.2">
      <c r="F1671" t="str">
        <f>"13121.1"</f>
        <v>13121.1</v>
      </c>
      <c r="H1671" t="s">
        <v>1197</v>
      </c>
    </row>
    <row r="1672" spans="4:8" x14ac:dyDescent="0.2">
      <c r="G1672" t="str">
        <f>"13121.10"</f>
        <v>13121.10</v>
      </c>
      <c r="H1672" t="s">
        <v>1197</v>
      </c>
    </row>
    <row r="1673" spans="4:8" x14ac:dyDescent="0.2">
      <c r="F1673" t="str">
        <f>"13121.2"</f>
        <v>13121.2</v>
      </c>
      <c r="H1673" t="s">
        <v>1198</v>
      </c>
    </row>
    <row r="1674" spans="4:8" x14ac:dyDescent="0.2">
      <c r="G1674" t="str">
        <f>"13121.20"</f>
        <v>13121.20</v>
      </c>
      <c r="H1674" t="s">
        <v>1198</v>
      </c>
    </row>
    <row r="1675" spans="4:8" x14ac:dyDescent="0.2">
      <c r="F1675" t="str">
        <f>"13121.3"</f>
        <v>13121.3</v>
      </c>
      <c r="H1675" t="s">
        <v>1199</v>
      </c>
    </row>
    <row r="1676" spans="4:8" x14ac:dyDescent="0.2">
      <c r="G1676" t="str">
        <f>"13121.30"</f>
        <v>13121.30</v>
      </c>
      <c r="H1676" t="s">
        <v>1199</v>
      </c>
    </row>
    <row r="1677" spans="4:8" x14ac:dyDescent="0.2">
      <c r="F1677" t="str">
        <f>"13121.4"</f>
        <v>13121.4</v>
      </c>
      <c r="H1677" t="s">
        <v>1200</v>
      </c>
    </row>
    <row r="1678" spans="4:8" x14ac:dyDescent="0.2">
      <c r="G1678" t="str">
        <f>"13121.41"</f>
        <v>13121.41</v>
      </c>
      <c r="H1678" t="s">
        <v>1201</v>
      </c>
    </row>
    <row r="1679" spans="4:8" x14ac:dyDescent="0.2">
      <c r="G1679" t="str">
        <f>"13121.42"</f>
        <v>13121.42</v>
      </c>
      <c r="H1679" t="s">
        <v>1202</v>
      </c>
    </row>
    <row r="1680" spans="4:8" x14ac:dyDescent="0.2">
      <c r="G1680" t="str">
        <f>"13121.49"</f>
        <v>13121.49</v>
      </c>
      <c r="H1680" t="s">
        <v>1203</v>
      </c>
    </row>
    <row r="1681" spans="5:8" x14ac:dyDescent="0.2">
      <c r="F1681" t="str">
        <f>"13121.9"</f>
        <v>13121.9</v>
      </c>
      <c r="H1681" t="s">
        <v>1204</v>
      </c>
    </row>
    <row r="1682" spans="5:8" x14ac:dyDescent="0.2">
      <c r="G1682" t="str">
        <f>"13121.90"</f>
        <v>13121.90</v>
      </c>
      <c r="H1682" t="s">
        <v>1204</v>
      </c>
    </row>
    <row r="1683" spans="5:8" x14ac:dyDescent="0.2">
      <c r="E1683" t="str">
        <f>"13122"</f>
        <v>13122</v>
      </c>
      <c r="H1683" t="s">
        <v>1205</v>
      </c>
    </row>
    <row r="1684" spans="5:8" x14ac:dyDescent="0.2">
      <c r="F1684" t="str">
        <f>"13122.1"</f>
        <v>13122.1</v>
      </c>
      <c r="H1684" t="s">
        <v>1205</v>
      </c>
    </row>
    <row r="1685" spans="5:8" x14ac:dyDescent="0.2">
      <c r="G1685" t="str">
        <f>"13122.11"</f>
        <v>13122.11</v>
      </c>
      <c r="H1685" t="s">
        <v>1206</v>
      </c>
    </row>
    <row r="1686" spans="5:8" x14ac:dyDescent="0.2">
      <c r="G1686" t="str">
        <f>"13122.12"</f>
        <v>13122.12</v>
      </c>
      <c r="H1686" t="s">
        <v>1207</v>
      </c>
    </row>
    <row r="1687" spans="5:8" x14ac:dyDescent="0.2">
      <c r="G1687" t="str">
        <f>"13122.13"</f>
        <v>13122.13</v>
      </c>
      <c r="H1687" t="s">
        <v>1208</v>
      </c>
    </row>
    <row r="1688" spans="5:8" x14ac:dyDescent="0.2">
      <c r="F1688" t="str">
        <f>"13122.9"</f>
        <v>13122.9</v>
      </c>
      <c r="H1688" t="s">
        <v>1209</v>
      </c>
    </row>
    <row r="1689" spans="5:8" x14ac:dyDescent="0.2">
      <c r="G1689" t="str">
        <f>"13122.90"</f>
        <v>13122.90</v>
      </c>
      <c r="H1689" t="s">
        <v>1209</v>
      </c>
    </row>
    <row r="1690" spans="5:8" x14ac:dyDescent="0.2">
      <c r="E1690" t="str">
        <f>"13129"</f>
        <v>13129</v>
      </c>
      <c r="H1690" t="s">
        <v>1210</v>
      </c>
    </row>
    <row r="1691" spans="5:8" x14ac:dyDescent="0.2">
      <c r="F1691" t="str">
        <f>"13129.1"</f>
        <v>13129.1</v>
      </c>
      <c r="H1691" t="s">
        <v>1210</v>
      </c>
    </row>
    <row r="1692" spans="5:8" x14ac:dyDescent="0.2">
      <c r="G1692" t="str">
        <f>"13129.11"</f>
        <v>13129.11</v>
      </c>
      <c r="H1692" t="s">
        <v>1211</v>
      </c>
    </row>
    <row r="1693" spans="5:8" x14ac:dyDescent="0.2">
      <c r="G1693" t="str">
        <f>"13129.12"</f>
        <v>13129.12</v>
      </c>
      <c r="H1693" t="s">
        <v>1212</v>
      </c>
    </row>
    <row r="1694" spans="5:8" x14ac:dyDescent="0.2">
      <c r="G1694" t="str">
        <f>"13129.13"</f>
        <v>13129.13</v>
      </c>
      <c r="H1694" t="s">
        <v>1213</v>
      </c>
    </row>
    <row r="1695" spans="5:8" x14ac:dyDescent="0.2">
      <c r="G1695" t="str">
        <f>"13129.14"</f>
        <v>13129.14</v>
      </c>
      <c r="H1695" t="s">
        <v>1214</v>
      </c>
    </row>
    <row r="1696" spans="5:8" x14ac:dyDescent="0.2">
      <c r="G1696" t="str">
        <f>"13129.15"</f>
        <v>13129.15</v>
      </c>
      <c r="H1696" t="s">
        <v>1215</v>
      </c>
    </row>
    <row r="1697" spans="4:8" x14ac:dyDescent="0.2">
      <c r="G1697" t="str">
        <f>"13129.16"</f>
        <v>13129.16</v>
      </c>
      <c r="H1697" t="s">
        <v>1216</v>
      </c>
    </row>
    <row r="1698" spans="4:8" x14ac:dyDescent="0.2">
      <c r="F1698" t="str">
        <f>"13129.2"</f>
        <v>13129.2</v>
      </c>
      <c r="H1698" t="s">
        <v>1217</v>
      </c>
    </row>
    <row r="1699" spans="4:8" x14ac:dyDescent="0.2">
      <c r="G1699" t="str">
        <f>"13129.20"</f>
        <v>13129.20</v>
      </c>
      <c r="H1699" t="s">
        <v>1217</v>
      </c>
    </row>
    <row r="1700" spans="4:8" x14ac:dyDescent="0.2">
      <c r="F1700" t="str">
        <f>"13129.9"</f>
        <v>13129.9</v>
      </c>
      <c r="H1700" t="s">
        <v>1218</v>
      </c>
    </row>
    <row r="1701" spans="4:8" x14ac:dyDescent="0.2">
      <c r="G1701" t="str">
        <f>"13129.90"</f>
        <v>13129.90</v>
      </c>
      <c r="H1701" t="s">
        <v>1218</v>
      </c>
    </row>
    <row r="1702" spans="4:8" x14ac:dyDescent="0.2">
      <c r="D1702" t="str">
        <f>"1313"</f>
        <v>1313</v>
      </c>
      <c r="H1702" t="s">
        <v>1219</v>
      </c>
    </row>
    <row r="1703" spans="4:8" x14ac:dyDescent="0.2">
      <c r="E1703" t="str">
        <f>"13131"</f>
        <v>13131</v>
      </c>
      <c r="H1703" t="s">
        <v>1220</v>
      </c>
    </row>
    <row r="1704" spans="4:8" x14ac:dyDescent="0.2">
      <c r="F1704" t="str">
        <f>"13131.0"</f>
        <v>13131.0</v>
      </c>
      <c r="H1704" t="s">
        <v>1220</v>
      </c>
    </row>
    <row r="1705" spans="4:8" x14ac:dyDescent="0.2">
      <c r="G1705" t="str">
        <f>"13131.01"</f>
        <v>13131.01</v>
      </c>
      <c r="H1705" t="s">
        <v>1221</v>
      </c>
    </row>
    <row r="1706" spans="4:8" x14ac:dyDescent="0.2">
      <c r="G1706" t="str">
        <f>"13131.02"</f>
        <v>13131.02</v>
      </c>
      <c r="H1706" t="s">
        <v>1222</v>
      </c>
    </row>
    <row r="1707" spans="4:8" x14ac:dyDescent="0.2">
      <c r="G1707" t="str">
        <f>"13131.03"</f>
        <v>13131.03</v>
      </c>
      <c r="H1707" t="s">
        <v>1223</v>
      </c>
    </row>
    <row r="1708" spans="4:8" x14ac:dyDescent="0.2">
      <c r="E1708" t="str">
        <f>"13132"</f>
        <v>13132</v>
      </c>
      <c r="H1708" t="s">
        <v>1224</v>
      </c>
    </row>
    <row r="1709" spans="4:8" x14ac:dyDescent="0.2">
      <c r="F1709" t="str">
        <f>"13132.0"</f>
        <v>13132.0</v>
      </c>
      <c r="H1709" t="s">
        <v>1225</v>
      </c>
    </row>
    <row r="1710" spans="4:8" x14ac:dyDescent="0.2">
      <c r="G1710" t="str">
        <f>"13132.00"</f>
        <v>13132.00</v>
      </c>
      <c r="H1710" t="s">
        <v>1225</v>
      </c>
    </row>
    <row r="1711" spans="4:8" x14ac:dyDescent="0.2">
      <c r="E1711" t="str">
        <f>"13139"</f>
        <v>13139</v>
      </c>
      <c r="H1711" t="s">
        <v>1226</v>
      </c>
    </row>
    <row r="1712" spans="4:8" x14ac:dyDescent="0.2">
      <c r="F1712" t="str">
        <f>"13139.0"</f>
        <v>13139.0</v>
      </c>
      <c r="H1712" t="s">
        <v>1227</v>
      </c>
    </row>
    <row r="1713" spans="3:8" x14ac:dyDescent="0.2">
      <c r="G1713" t="str">
        <f>"13139.00"</f>
        <v>13139.00</v>
      </c>
      <c r="H1713" t="s">
        <v>1227</v>
      </c>
    </row>
    <row r="1714" spans="3:8" x14ac:dyDescent="0.2">
      <c r="C1714" t="str">
        <f>"139"</f>
        <v>139</v>
      </c>
      <c r="H1714" t="s">
        <v>1228</v>
      </c>
    </row>
    <row r="1715" spans="3:8" x14ac:dyDescent="0.2">
      <c r="D1715" t="str">
        <f>"1391"</f>
        <v>1391</v>
      </c>
      <c r="H1715" t="s">
        <v>1229</v>
      </c>
    </row>
    <row r="1716" spans="3:8" x14ac:dyDescent="0.2">
      <c r="E1716" t="str">
        <f>"13910"</f>
        <v>13910</v>
      </c>
      <c r="H1716" t="s">
        <v>1229</v>
      </c>
    </row>
    <row r="1717" spans="3:8" x14ac:dyDescent="0.2">
      <c r="F1717" t="str">
        <f>"13910.1"</f>
        <v>13910.1</v>
      </c>
      <c r="H1717" t="s">
        <v>1229</v>
      </c>
    </row>
    <row r="1718" spans="3:8" x14ac:dyDescent="0.2">
      <c r="G1718" t="str">
        <f>"13910.11"</f>
        <v>13910.11</v>
      </c>
      <c r="H1718" t="s">
        <v>1230</v>
      </c>
    </row>
    <row r="1719" spans="3:8" x14ac:dyDescent="0.2">
      <c r="G1719" t="str">
        <f>"13910.19"</f>
        <v>13910.19</v>
      </c>
      <c r="H1719" t="s">
        <v>1231</v>
      </c>
    </row>
    <row r="1720" spans="3:8" x14ac:dyDescent="0.2">
      <c r="F1720" t="str">
        <f>"13910.9"</f>
        <v>13910.9</v>
      </c>
      <c r="H1720" t="s">
        <v>1232</v>
      </c>
    </row>
    <row r="1721" spans="3:8" x14ac:dyDescent="0.2">
      <c r="G1721" t="str">
        <f>"13910.90"</f>
        <v>13910.90</v>
      </c>
      <c r="H1721" t="s">
        <v>1232</v>
      </c>
    </row>
    <row r="1722" spans="3:8" x14ac:dyDescent="0.2">
      <c r="D1722" t="str">
        <f>"1392"</f>
        <v>1392</v>
      </c>
      <c r="H1722" t="s">
        <v>1233</v>
      </c>
    </row>
    <row r="1723" spans="3:8" x14ac:dyDescent="0.2">
      <c r="E1723" t="str">
        <f>"13921"</f>
        <v>13921</v>
      </c>
      <c r="H1723" t="s">
        <v>1234</v>
      </c>
    </row>
    <row r="1724" spans="3:8" x14ac:dyDescent="0.2">
      <c r="F1724" t="str">
        <f>"13921.1"</f>
        <v>13921.1</v>
      </c>
      <c r="H1724" t="s">
        <v>1235</v>
      </c>
    </row>
    <row r="1725" spans="3:8" x14ac:dyDescent="0.2">
      <c r="G1725" t="str">
        <f>"13921.11"</f>
        <v>13921.11</v>
      </c>
      <c r="H1725" t="s">
        <v>1236</v>
      </c>
    </row>
    <row r="1726" spans="3:8" x14ac:dyDescent="0.2">
      <c r="G1726" t="str">
        <f>"13921.12"</f>
        <v>13921.12</v>
      </c>
      <c r="H1726" t="s">
        <v>1237</v>
      </c>
    </row>
    <row r="1727" spans="3:8" x14ac:dyDescent="0.2">
      <c r="G1727" t="str">
        <f>"13921.13"</f>
        <v>13921.13</v>
      </c>
      <c r="H1727" t="s">
        <v>1238</v>
      </c>
    </row>
    <row r="1728" spans="3:8" x14ac:dyDescent="0.2">
      <c r="G1728" t="str">
        <f>"13921.14"</f>
        <v>13921.14</v>
      </c>
      <c r="H1728" t="s">
        <v>1239</v>
      </c>
    </row>
    <row r="1729" spans="5:8" x14ac:dyDescent="0.2">
      <c r="F1729" t="str">
        <f>"13921.9"</f>
        <v>13921.9</v>
      </c>
      <c r="H1729" t="s">
        <v>1240</v>
      </c>
    </row>
    <row r="1730" spans="5:8" x14ac:dyDescent="0.2">
      <c r="G1730" t="str">
        <f>"13921.90"</f>
        <v>13921.90</v>
      </c>
      <c r="H1730" t="s">
        <v>1240</v>
      </c>
    </row>
    <row r="1731" spans="5:8" x14ac:dyDescent="0.2">
      <c r="E1731" t="str">
        <f>"13922"</f>
        <v>13922</v>
      </c>
      <c r="H1731" t="s">
        <v>1241</v>
      </c>
    </row>
    <row r="1732" spans="5:8" x14ac:dyDescent="0.2">
      <c r="F1732" t="str">
        <f>"13922.1"</f>
        <v>13922.1</v>
      </c>
      <c r="H1732" t="s">
        <v>1241</v>
      </c>
    </row>
    <row r="1733" spans="5:8" x14ac:dyDescent="0.2">
      <c r="G1733" t="str">
        <f>"13922.11"</f>
        <v>13922.11</v>
      </c>
      <c r="H1733" t="s">
        <v>1242</v>
      </c>
    </row>
    <row r="1734" spans="5:8" x14ac:dyDescent="0.2">
      <c r="G1734" t="str">
        <f>"13922.12"</f>
        <v>13922.12</v>
      </c>
      <c r="H1734" t="s">
        <v>1243</v>
      </c>
    </row>
    <row r="1735" spans="5:8" x14ac:dyDescent="0.2">
      <c r="G1735" t="str">
        <f>"13922.13"</f>
        <v>13922.13</v>
      </c>
      <c r="H1735" t="s">
        <v>1244</v>
      </c>
    </row>
    <row r="1736" spans="5:8" x14ac:dyDescent="0.2">
      <c r="F1736" t="str">
        <f>"13922.9"</f>
        <v>13922.9</v>
      </c>
      <c r="H1736" t="s">
        <v>1245</v>
      </c>
    </row>
    <row r="1737" spans="5:8" x14ac:dyDescent="0.2">
      <c r="G1737" t="str">
        <f>"13922.90"</f>
        <v>13922.90</v>
      </c>
      <c r="H1737" t="s">
        <v>1245</v>
      </c>
    </row>
    <row r="1738" spans="5:8" x14ac:dyDescent="0.2">
      <c r="E1738" t="str">
        <f>"13929"</f>
        <v>13929</v>
      </c>
      <c r="H1738" t="s">
        <v>1246</v>
      </c>
    </row>
    <row r="1739" spans="5:8" x14ac:dyDescent="0.2">
      <c r="F1739" t="str">
        <f>"13929.1"</f>
        <v>13929.1</v>
      </c>
      <c r="H1739" t="s">
        <v>1246</v>
      </c>
    </row>
    <row r="1740" spans="5:8" x14ac:dyDescent="0.2">
      <c r="G1740" t="str">
        <f>"13929.11"</f>
        <v>13929.11</v>
      </c>
      <c r="H1740" t="s">
        <v>1247</v>
      </c>
    </row>
    <row r="1741" spans="5:8" x14ac:dyDescent="0.2">
      <c r="G1741" t="str">
        <f>"13929.12"</f>
        <v>13929.12</v>
      </c>
      <c r="H1741" t="s">
        <v>1248</v>
      </c>
    </row>
    <row r="1742" spans="5:8" x14ac:dyDescent="0.2">
      <c r="G1742" t="str">
        <f>"13929.13"</f>
        <v>13929.13</v>
      </c>
      <c r="H1742" t="s">
        <v>1249</v>
      </c>
    </row>
    <row r="1743" spans="5:8" x14ac:dyDescent="0.2">
      <c r="G1743" t="str">
        <f>"13929.19"</f>
        <v>13929.19</v>
      </c>
      <c r="H1743" t="s">
        <v>1250</v>
      </c>
    </row>
    <row r="1744" spans="5:8" x14ac:dyDescent="0.2">
      <c r="F1744" t="str">
        <f>"13929.9"</f>
        <v>13929.9</v>
      </c>
      <c r="H1744" t="s">
        <v>1251</v>
      </c>
    </row>
    <row r="1745" spans="4:8" x14ac:dyDescent="0.2">
      <c r="G1745" t="str">
        <f>"13929.90"</f>
        <v>13929.90</v>
      </c>
      <c r="H1745" t="s">
        <v>1252</v>
      </c>
    </row>
    <row r="1746" spans="4:8" x14ac:dyDescent="0.2">
      <c r="D1746" t="str">
        <f>"1393"</f>
        <v>1393</v>
      </c>
      <c r="H1746" t="s">
        <v>1253</v>
      </c>
    </row>
    <row r="1747" spans="4:8" x14ac:dyDescent="0.2">
      <c r="E1747" t="str">
        <f>"13930"</f>
        <v>13930</v>
      </c>
      <c r="H1747" t="s">
        <v>1253</v>
      </c>
    </row>
    <row r="1748" spans="4:8" x14ac:dyDescent="0.2">
      <c r="F1748" t="str">
        <f>"13930.1"</f>
        <v>13930.1</v>
      </c>
      <c r="H1748" t="s">
        <v>1246</v>
      </c>
    </row>
    <row r="1749" spans="4:8" x14ac:dyDescent="0.2">
      <c r="G1749" t="str">
        <f>"13930.11"</f>
        <v>13930.11</v>
      </c>
      <c r="H1749" t="s">
        <v>1254</v>
      </c>
    </row>
    <row r="1750" spans="4:8" x14ac:dyDescent="0.2">
      <c r="G1750" t="str">
        <f>"13930.12"</f>
        <v>13930.12</v>
      </c>
      <c r="H1750" t="s">
        <v>1255</v>
      </c>
    </row>
    <row r="1751" spans="4:8" x14ac:dyDescent="0.2">
      <c r="G1751" t="str">
        <f>"13930.13"</f>
        <v>13930.13</v>
      </c>
      <c r="H1751" t="s">
        <v>1256</v>
      </c>
    </row>
    <row r="1752" spans="4:8" x14ac:dyDescent="0.2">
      <c r="G1752" t="str">
        <f>"13930.19"</f>
        <v>13930.19</v>
      </c>
      <c r="H1752" t="s">
        <v>1257</v>
      </c>
    </row>
    <row r="1753" spans="4:8" x14ac:dyDescent="0.2">
      <c r="F1753" t="str">
        <f>"13930.9"</f>
        <v>13930.9</v>
      </c>
      <c r="H1753" t="s">
        <v>1258</v>
      </c>
    </row>
    <row r="1754" spans="4:8" x14ac:dyDescent="0.2">
      <c r="G1754" t="str">
        <f>"13930.90"</f>
        <v>13930.90</v>
      </c>
      <c r="H1754" t="s">
        <v>1258</v>
      </c>
    </row>
    <row r="1755" spans="4:8" x14ac:dyDescent="0.2">
      <c r="D1755" t="str">
        <f>"1394"</f>
        <v>1394</v>
      </c>
      <c r="H1755" t="s">
        <v>1259</v>
      </c>
    </row>
    <row r="1756" spans="4:8" x14ac:dyDescent="0.2">
      <c r="E1756" t="str">
        <f>"13940"</f>
        <v>13940</v>
      </c>
      <c r="H1756" t="s">
        <v>1259</v>
      </c>
    </row>
    <row r="1757" spans="4:8" x14ac:dyDescent="0.2">
      <c r="F1757" t="str">
        <f>"13940.1"</f>
        <v>13940.1</v>
      </c>
      <c r="H1757" t="s">
        <v>1259</v>
      </c>
    </row>
    <row r="1758" spans="4:8" x14ac:dyDescent="0.2">
      <c r="G1758" t="str">
        <f>"13940.11"</f>
        <v>13940.11</v>
      </c>
      <c r="H1758" t="s">
        <v>1260</v>
      </c>
    </row>
    <row r="1759" spans="4:8" x14ac:dyDescent="0.2">
      <c r="G1759" t="str">
        <f>"13940.12"</f>
        <v>13940.12</v>
      </c>
      <c r="H1759" t="s">
        <v>1261</v>
      </c>
    </row>
    <row r="1760" spans="4:8" x14ac:dyDescent="0.2">
      <c r="G1760" t="str">
        <f>"13940.13"</f>
        <v>13940.13</v>
      </c>
      <c r="H1760" t="s">
        <v>1262</v>
      </c>
    </row>
    <row r="1761" spans="4:8" x14ac:dyDescent="0.2">
      <c r="F1761" t="str">
        <f>"13940.9"</f>
        <v>13940.9</v>
      </c>
      <c r="H1761" t="s">
        <v>1263</v>
      </c>
    </row>
    <row r="1762" spans="4:8" x14ac:dyDescent="0.2">
      <c r="G1762" t="str">
        <f>"13940.90"</f>
        <v>13940.90</v>
      </c>
      <c r="H1762" t="s">
        <v>1263</v>
      </c>
    </row>
    <row r="1763" spans="4:8" x14ac:dyDescent="0.2">
      <c r="D1763" t="str">
        <f>"1399"</f>
        <v>1399</v>
      </c>
      <c r="H1763" t="s">
        <v>1264</v>
      </c>
    </row>
    <row r="1764" spans="4:8" x14ac:dyDescent="0.2">
      <c r="E1764" t="str">
        <f>"13991"</f>
        <v>13991</v>
      </c>
      <c r="H1764" t="s">
        <v>1265</v>
      </c>
    </row>
    <row r="1765" spans="4:8" x14ac:dyDescent="0.2">
      <c r="F1765" t="str">
        <f>"13991.1"</f>
        <v>13991.1</v>
      </c>
      <c r="H1765" t="s">
        <v>1266</v>
      </c>
    </row>
    <row r="1766" spans="4:8" x14ac:dyDescent="0.2">
      <c r="G1766" t="str">
        <f>"13991.10"</f>
        <v>13991.10</v>
      </c>
      <c r="H1766" t="s">
        <v>1266</v>
      </c>
    </row>
    <row r="1767" spans="4:8" x14ac:dyDescent="0.2">
      <c r="F1767" t="str">
        <f>"13991.9"</f>
        <v>13991.9</v>
      </c>
      <c r="H1767" t="s">
        <v>1267</v>
      </c>
    </row>
    <row r="1768" spans="4:8" x14ac:dyDescent="0.2">
      <c r="G1768" t="str">
        <f>"13991.90"</f>
        <v>13991.90</v>
      </c>
      <c r="H1768" t="s">
        <v>1267</v>
      </c>
    </row>
    <row r="1769" spans="4:8" x14ac:dyDescent="0.2">
      <c r="E1769" t="str">
        <f>"13992"</f>
        <v>13992</v>
      </c>
      <c r="H1769" t="s">
        <v>1268</v>
      </c>
    </row>
    <row r="1770" spans="4:8" x14ac:dyDescent="0.2">
      <c r="F1770" t="str">
        <f>"13992.1"</f>
        <v>13992.1</v>
      </c>
      <c r="H1770" t="s">
        <v>1268</v>
      </c>
    </row>
    <row r="1771" spans="4:8" x14ac:dyDescent="0.2">
      <c r="G1771" t="str">
        <f>"13992.11"</f>
        <v>13992.11</v>
      </c>
      <c r="H1771" t="s">
        <v>1269</v>
      </c>
    </row>
    <row r="1772" spans="4:8" x14ac:dyDescent="0.2">
      <c r="G1772" t="str">
        <f>"13992.12"</f>
        <v>13992.12</v>
      </c>
      <c r="H1772" t="s">
        <v>1270</v>
      </c>
    </row>
    <row r="1773" spans="4:8" x14ac:dyDescent="0.2">
      <c r="G1773" t="str">
        <f>"13992.13"</f>
        <v>13992.13</v>
      </c>
      <c r="H1773" t="s">
        <v>1271</v>
      </c>
    </row>
    <row r="1774" spans="4:8" x14ac:dyDescent="0.2">
      <c r="G1774" t="str">
        <f>"13992.14"</f>
        <v>13992.14</v>
      </c>
      <c r="H1774" t="s">
        <v>1272</v>
      </c>
    </row>
    <row r="1775" spans="4:8" x14ac:dyDescent="0.2">
      <c r="G1775" t="str">
        <f>"13992.15"</f>
        <v>13992.15</v>
      </c>
      <c r="H1775" t="s">
        <v>1273</v>
      </c>
    </row>
    <row r="1776" spans="4:8" x14ac:dyDescent="0.2">
      <c r="G1776" t="str">
        <f>"13992.16"</f>
        <v>13992.16</v>
      </c>
      <c r="H1776" t="s">
        <v>1274</v>
      </c>
    </row>
    <row r="1777" spans="2:8" x14ac:dyDescent="0.2">
      <c r="G1777" t="str">
        <f>"13992.17"</f>
        <v>13992.17</v>
      </c>
      <c r="H1777" t="s">
        <v>1275</v>
      </c>
    </row>
    <row r="1778" spans="2:8" x14ac:dyDescent="0.2">
      <c r="F1778" t="str">
        <f>"13992.9"</f>
        <v>13992.9</v>
      </c>
      <c r="H1778" t="s">
        <v>1276</v>
      </c>
    </row>
    <row r="1779" spans="2:8" x14ac:dyDescent="0.2">
      <c r="G1779" t="str">
        <f>"13992.90"</f>
        <v>13992.90</v>
      </c>
      <c r="H1779" t="s">
        <v>1276</v>
      </c>
    </row>
    <row r="1780" spans="2:8" x14ac:dyDescent="0.2">
      <c r="E1780" t="str">
        <f>"13999"</f>
        <v>13999</v>
      </c>
      <c r="H1780" t="s">
        <v>1264</v>
      </c>
    </row>
    <row r="1781" spans="2:8" x14ac:dyDescent="0.2">
      <c r="F1781" t="str">
        <f>"13999.1"</f>
        <v>13999.1</v>
      </c>
      <c r="H1781" t="s">
        <v>1264</v>
      </c>
    </row>
    <row r="1782" spans="2:8" x14ac:dyDescent="0.2">
      <c r="G1782" t="str">
        <f>"13999.11"</f>
        <v>13999.11</v>
      </c>
      <c r="H1782" t="s">
        <v>1277</v>
      </c>
    </row>
    <row r="1783" spans="2:8" x14ac:dyDescent="0.2">
      <c r="G1783" t="str">
        <f>"13999.12"</f>
        <v>13999.12</v>
      </c>
      <c r="H1783" t="s">
        <v>1278</v>
      </c>
    </row>
    <row r="1784" spans="2:8" x14ac:dyDescent="0.2">
      <c r="G1784" t="str">
        <f>"13999.13"</f>
        <v>13999.13</v>
      </c>
      <c r="H1784" t="s">
        <v>1279</v>
      </c>
    </row>
    <row r="1785" spans="2:8" x14ac:dyDescent="0.2">
      <c r="G1785" t="str">
        <f>"13999.14"</f>
        <v>13999.14</v>
      </c>
      <c r="H1785" t="s">
        <v>1280</v>
      </c>
    </row>
    <row r="1786" spans="2:8" x14ac:dyDescent="0.2">
      <c r="G1786" t="str">
        <f>"13999.15"</f>
        <v>13999.15</v>
      </c>
      <c r="H1786" t="s">
        <v>1281</v>
      </c>
    </row>
    <row r="1787" spans="2:8" x14ac:dyDescent="0.2">
      <c r="G1787" t="str">
        <f>"13999.16"</f>
        <v>13999.16</v>
      </c>
      <c r="H1787" t="s">
        <v>1282</v>
      </c>
    </row>
    <row r="1788" spans="2:8" x14ac:dyDescent="0.2">
      <c r="G1788" t="str">
        <f>"13999.19"</f>
        <v>13999.19</v>
      </c>
      <c r="H1788" t="s">
        <v>1283</v>
      </c>
    </row>
    <row r="1789" spans="2:8" x14ac:dyDescent="0.2">
      <c r="F1789" t="str">
        <f>"13999.9"</f>
        <v>13999.9</v>
      </c>
      <c r="H1789" t="s">
        <v>1284</v>
      </c>
    </row>
    <row r="1790" spans="2:8" x14ac:dyDescent="0.2">
      <c r="G1790" t="str">
        <f>"13999.90"</f>
        <v>13999.90</v>
      </c>
      <c r="H1790" t="s">
        <v>1285</v>
      </c>
    </row>
    <row r="1791" spans="2:8" x14ac:dyDescent="0.2">
      <c r="B1791" t="str">
        <f>"14"</f>
        <v>14</v>
      </c>
      <c r="H1791" t="s">
        <v>1286</v>
      </c>
    </row>
    <row r="1792" spans="2:8" x14ac:dyDescent="0.2">
      <c r="C1792" t="str">
        <f>"141"</f>
        <v>141</v>
      </c>
      <c r="H1792" t="s">
        <v>1287</v>
      </c>
    </row>
    <row r="1793" spans="4:8" x14ac:dyDescent="0.2">
      <c r="D1793" t="str">
        <f>"1411"</f>
        <v>1411</v>
      </c>
      <c r="H1793" t="s">
        <v>1288</v>
      </c>
    </row>
    <row r="1794" spans="4:8" x14ac:dyDescent="0.2">
      <c r="E1794" t="str">
        <f>"14111"</f>
        <v>14111</v>
      </c>
      <c r="H1794" t="s">
        <v>1289</v>
      </c>
    </row>
    <row r="1795" spans="4:8" x14ac:dyDescent="0.2">
      <c r="F1795" t="str">
        <f>"14111.1"</f>
        <v>14111.1</v>
      </c>
      <c r="H1795" t="s">
        <v>1290</v>
      </c>
    </row>
    <row r="1796" spans="4:8" x14ac:dyDescent="0.2">
      <c r="G1796" t="str">
        <f>"14111.11"</f>
        <v>14111.11</v>
      </c>
      <c r="H1796" t="s">
        <v>1291</v>
      </c>
    </row>
    <row r="1797" spans="4:8" x14ac:dyDescent="0.2">
      <c r="G1797" t="str">
        <f>"14111.12"</f>
        <v>14111.12</v>
      </c>
      <c r="H1797" t="s">
        <v>1292</v>
      </c>
    </row>
    <row r="1798" spans="4:8" x14ac:dyDescent="0.2">
      <c r="F1798" t="str">
        <f>"14111.2"</f>
        <v>14111.2</v>
      </c>
      <c r="H1798" t="s">
        <v>1293</v>
      </c>
    </row>
    <row r="1799" spans="4:8" x14ac:dyDescent="0.2">
      <c r="G1799" t="str">
        <f>"14111.21"</f>
        <v>14111.21</v>
      </c>
      <c r="H1799" t="s">
        <v>1294</v>
      </c>
    </row>
    <row r="1800" spans="4:8" x14ac:dyDescent="0.2">
      <c r="G1800" t="str">
        <f>"14111.22"</f>
        <v>14111.22</v>
      </c>
      <c r="H1800" t="s">
        <v>1295</v>
      </c>
    </row>
    <row r="1801" spans="4:8" x14ac:dyDescent="0.2">
      <c r="F1801" t="str">
        <f>"14111.3"</f>
        <v>14111.3</v>
      </c>
      <c r="H1801" t="s">
        <v>1296</v>
      </c>
    </row>
    <row r="1802" spans="4:8" x14ac:dyDescent="0.2">
      <c r="G1802" t="str">
        <f>"14111.30"</f>
        <v>14111.30</v>
      </c>
      <c r="H1802" t="s">
        <v>1296</v>
      </c>
    </row>
    <row r="1803" spans="4:8" x14ac:dyDescent="0.2">
      <c r="F1803" t="str">
        <f>"14111.4"</f>
        <v>14111.4</v>
      </c>
      <c r="H1803" t="s">
        <v>1297</v>
      </c>
    </row>
    <row r="1804" spans="4:8" x14ac:dyDescent="0.2">
      <c r="G1804" t="str">
        <f>"14111.40"</f>
        <v>14111.40</v>
      </c>
      <c r="H1804" t="s">
        <v>1297</v>
      </c>
    </row>
    <row r="1805" spans="4:8" x14ac:dyDescent="0.2">
      <c r="F1805" t="str">
        <f>"14111.5"</f>
        <v>14111.5</v>
      </c>
      <c r="H1805" t="s">
        <v>1298</v>
      </c>
    </row>
    <row r="1806" spans="4:8" x14ac:dyDescent="0.2">
      <c r="G1806" t="str">
        <f>"14111.50"</f>
        <v>14111.50</v>
      </c>
      <c r="H1806" t="s">
        <v>1298</v>
      </c>
    </row>
    <row r="1807" spans="4:8" x14ac:dyDescent="0.2">
      <c r="F1807" t="str">
        <f>"14111.6"</f>
        <v>14111.6</v>
      </c>
      <c r="H1807" t="s">
        <v>1299</v>
      </c>
    </row>
    <row r="1808" spans="4:8" x14ac:dyDescent="0.2">
      <c r="G1808" t="str">
        <f>"14111.60"</f>
        <v>14111.60</v>
      </c>
      <c r="H1808" t="s">
        <v>1299</v>
      </c>
    </row>
    <row r="1809" spans="5:8" x14ac:dyDescent="0.2">
      <c r="F1809" t="str">
        <f>"14111.9"</f>
        <v>14111.9</v>
      </c>
      <c r="H1809" t="s">
        <v>1300</v>
      </c>
    </row>
    <row r="1810" spans="5:8" x14ac:dyDescent="0.2">
      <c r="G1810" t="str">
        <f>"14111.90"</f>
        <v>14111.90</v>
      </c>
      <c r="H1810" t="s">
        <v>1300</v>
      </c>
    </row>
    <row r="1811" spans="5:8" x14ac:dyDescent="0.2">
      <c r="E1811" t="str">
        <f>"14112"</f>
        <v>14112</v>
      </c>
      <c r="H1811" t="s">
        <v>1301</v>
      </c>
    </row>
    <row r="1812" spans="5:8" x14ac:dyDescent="0.2">
      <c r="F1812" t="str">
        <f>"14112.1"</f>
        <v>14112.1</v>
      </c>
      <c r="H1812" t="s">
        <v>1302</v>
      </c>
    </row>
    <row r="1813" spans="5:8" x14ac:dyDescent="0.2">
      <c r="G1813" t="str">
        <f>"14112.11"</f>
        <v>14112.11</v>
      </c>
      <c r="H1813" t="s">
        <v>1303</v>
      </c>
    </row>
    <row r="1814" spans="5:8" x14ac:dyDescent="0.2">
      <c r="G1814" t="str">
        <f>"14112.12"</f>
        <v>14112.12</v>
      </c>
      <c r="H1814" t="s">
        <v>1304</v>
      </c>
    </row>
    <row r="1815" spans="5:8" x14ac:dyDescent="0.2">
      <c r="G1815" t="str">
        <f>"14112.13"</f>
        <v>14112.13</v>
      </c>
      <c r="H1815" t="s">
        <v>1305</v>
      </c>
    </row>
    <row r="1816" spans="5:8" x14ac:dyDescent="0.2">
      <c r="G1816" t="str">
        <f>"14112.14"</f>
        <v>14112.14</v>
      </c>
      <c r="H1816" t="s">
        <v>1306</v>
      </c>
    </row>
    <row r="1817" spans="5:8" x14ac:dyDescent="0.2">
      <c r="F1817" t="str">
        <f>"14112.2"</f>
        <v>14112.2</v>
      </c>
      <c r="H1817" t="s">
        <v>1307</v>
      </c>
    </row>
    <row r="1818" spans="5:8" x14ac:dyDescent="0.2">
      <c r="G1818" t="str">
        <f>"14112.21"</f>
        <v>14112.21</v>
      </c>
      <c r="H1818" t="s">
        <v>1308</v>
      </c>
    </row>
    <row r="1819" spans="5:8" x14ac:dyDescent="0.2">
      <c r="G1819" t="str">
        <f>"14112.22"</f>
        <v>14112.22</v>
      </c>
      <c r="H1819" t="s">
        <v>1304</v>
      </c>
    </row>
    <row r="1820" spans="5:8" x14ac:dyDescent="0.2">
      <c r="G1820" t="str">
        <f>"14112.23"</f>
        <v>14112.23</v>
      </c>
      <c r="H1820" t="s">
        <v>1305</v>
      </c>
    </row>
    <row r="1821" spans="5:8" x14ac:dyDescent="0.2">
      <c r="G1821" t="str">
        <f>"14112.24"</f>
        <v>14112.24</v>
      </c>
      <c r="H1821" t="s">
        <v>1309</v>
      </c>
    </row>
    <row r="1822" spans="5:8" x14ac:dyDescent="0.2">
      <c r="G1822" t="str">
        <f>"14112.25"</f>
        <v>14112.25</v>
      </c>
      <c r="H1822" t="s">
        <v>1306</v>
      </c>
    </row>
    <row r="1823" spans="5:8" x14ac:dyDescent="0.2">
      <c r="F1823" t="str">
        <f>"14112.3"</f>
        <v>14112.3</v>
      </c>
      <c r="H1823" t="s">
        <v>1310</v>
      </c>
    </row>
    <row r="1824" spans="5:8" x14ac:dyDescent="0.2">
      <c r="G1824" t="str">
        <f>"14112.30"</f>
        <v>14112.30</v>
      </c>
      <c r="H1824" t="s">
        <v>1310</v>
      </c>
    </row>
    <row r="1825" spans="5:8" x14ac:dyDescent="0.2">
      <c r="F1825" t="str">
        <f>"14112.9"</f>
        <v>14112.9</v>
      </c>
      <c r="H1825" t="s">
        <v>1311</v>
      </c>
    </row>
    <row r="1826" spans="5:8" x14ac:dyDescent="0.2">
      <c r="G1826" t="str">
        <f>"14112.90"</f>
        <v>14112.90</v>
      </c>
      <c r="H1826" t="s">
        <v>1311</v>
      </c>
    </row>
    <row r="1827" spans="5:8" x14ac:dyDescent="0.2">
      <c r="E1827" t="str">
        <f>"14113"</f>
        <v>14113</v>
      </c>
      <c r="H1827" t="s">
        <v>1312</v>
      </c>
    </row>
    <row r="1828" spans="5:8" x14ac:dyDescent="0.2">
      <c r="F1828" t="str">
        <f>"14113.1"</f>
        <v>14113.1</v>
      </c>
      <c r="H1828" t="s">
        <v>1313</v>
      </c>
    </row>
    <row r="1829" spans="5:8" x14ac:dyDescent="0.2">
      <c r="G1829" t="str">
        <f>"14113.11"</f>
        <v>14113.11</v>
      </c>
      <c r="H1829" t="s">
        <v>1314</v>
      </c>
    </row>
    <row r="1830" spans="5:8" x14ac:dyDescent="0.2">
      <c r="G1830" t="str">
        <f>"14113.12"</f>
        <v>14113.12</v>
      </c>
      <c r="H1830" t="s">
        <v>1315</v>
      </c>
    </row>
    <row r="1831" spans="5:8" x14ac:dyDescent="0.2">
      <c r="F1831" t="str">
        <f>"14113.2"</f>
        <v>14113.2</v>
      </c>
      <c r="H1831" t="s">
        <v>1316</v>
      </c>
    </row>
    <row r="1832" spans="5:8" x14ac:dyDescent="0.2">
      <c r="G1832" t="str">
        <f>"14113.21"</f>
        <v>14113.21</v>
      </c>
      <c r="H1832" t="s">
        <v>1317</v>
      </c>
    </row>
    <row r="1833" spans="5:8" x14ac:dyDescent="0.2">
      <c r="G1833" t="str">
        <f>"14113.22"</f>
        <v>14113.22</v>
      </c>
      <c r="H1833" t="s">
        <v>1318</v>
      </c>
    </row>
    <row r="1834" spans="5:8" x14ac:dyDescent="0.2">
      <c r="G1834" t="str">
        <f>"14113.23"</f>
        <v>14113.23</v>
      </c>
      <c r="H1834" t="s">
        <v>1319</v>
      </c>
    </row>
    <row r="1835" spans="5:8" x14ac:dyDescent="0.2">
      <c r="F1835" t="str">
        <f>"14113.3"</f>
        <v>14113.3</v>
      </c>
      <c r="H1835" t="s">
        <v>1320</v>
      </c>
    </row>
    <row r="1836" spans="5:8" x14ac:dyDescent="0.2">
      <c r="G1836" t="str">
        <f>"14113.30"</f>
        <v>14113.30</v>
      </c>
      <c r="H1836" t="s">
        <v>1320</v>
      </c>
    </row>
    <row r="1837" spans="5:8" x14ac:dyDescent="0.2">
      <c r="F1837" t="str">
        <f>"14113.4"</f>
        <v>14113.4</v>
      </c>
      <c r="H1837" t="s">
        <v>1321</v>
      </c>
    </row>
    <row r="1838" spans="5:8" x14ac:dyDescent="0.2">
      <c r="G1838" t="str">
        <f>"14113.40"</f>
        <v>14113.40</v>
      </c>
      <c r="H1838" t="s">
        <v>1321</v>
      </c>
    </row>
    <row r="1839" spans="5:8" x14ac:dyDescent="0.2">
      <c r="F1839" t="str">
        <f>"14113.9"</f>
        <v>14113.9</v>
      </c>
      <c r="H1839" t="s">
        <v>1322</v>
      </c>
    </row>
    <row r="1840" spans="5:8" x14ac:dyDescent="0.2">
      <c r="G1840" t="str">
        <f>"14113.90"</f>
        <v>14113.90</v>
      </c>
      <c r="H1840" t="s">
        <v>1322</v>
      </c>
    </row>
    <row r="1841" spans="5:8" x14ac:dyDescent="0.2">
      <c r="E1841" t="str">
        <f>"14114"</f>
        <v>14114</v>
      </c>
      <c r="H1841" t="s">
        <v>1323</v>
      </c>
    </row>
    <row r="1842" spans="5:8" x14ac:dyDescent="0.2">
      <c r="F1842" t="str">
        <f>"14114.1"</f>
        <v>14114.1</v>
      </c>
      <c r="H1842" t="s">
        <v>1324</v>
      </c>
    </row>
    <row r="1843" spans="5:8" x14ac:dyDescent="0.2">
      <c r="G1843" t="str">
        <f>"14114.10"</f>
        <v>14114.10</v>
      </c>
      <c r="H1843" t="s">
        <v>1324</v>
      </c>
    </row>
    <row r="1844" spans="5:8" x14ac:dyDescent="0.2">
      <c r="F1844" t="str">
        <f>"14114.2"</f>
        <v>14114.2</v>
      </c>
      <c r="H1844" t="s">
        <v>1325</v>
      </c>
    </row>
    <row r="1845" spans="5:8" x14ac:dyDescent="0.2">
      <c r="G1845" t="str">
        <f>"14114.20"</f>
        <v>14114.20</v>
      </c>
      <c r="H1845" t="s">
        <v>1325</v>
      </c>
    </row>
    <row r="1846" spans="5:8" x14ac:dyDescent="0.2">
      <c r="F1846" t="str">
        <f>"14114.9"</f>
        <v>14114.9</v>
      </c>
      <c r="H1846" t="s">
        <v>1326</v>
      </c>
    </row>
    <row r="1847" spans="5:8" x14ac:dyDescent="0.2">
      <c r="G1847" t="str">
        <f>"14114.90"</f>
        <v>14114.90</v>
      </c>
      <c r="H1847" t="s">
        <v>1326</v>
      </c>
    </row>
    <row r="1848" spans="5:8" x14ac:dyDescent="0.2">
      <c r="E1848" t="str">
        <f>"14115"</f>
        <v>14115</v>
      </c>
      <c r="H1848" t="s">
        <v>1327</v>
      </c>
    </row>
    <row r="1849" spans="5:8" x14ac:dyDescent="0.2">
      <c r="F1849" t="str">
        <f>"14115.1"</f>
        <v>14115.1</v>
      </c>
      <c r="H1849" t="s">
        <v>1327</v>
      </c>
    </row>
    <row r="1850" spans="5:8" x14ac:dyDescent="0.2">
      <c r="G1850" t="str">
        <f>"14115.11"</f>
        <v>14115.11</v>
      </c>
      <c r="H1850" t="s">
        <v>1328</v>
      </c>
    </row>
    <row r="1851" spans="5:8" x14ac:dyDescent="0.2">
      <c r="G1851" t="str">
        <f>"14115.19"</f>
        <v>14115.19</v>
      </c>
      <c r="H1851" t="s">
        <v>1329</v>
      </c>
    </row>
    <row r="1852" spans="5:8" x14ac:dyDescent="0.2">
      <c r="F1852" t="str">
        <f>"14115.2"</f>
        <v>14115.2</v>
      </c>
      <c r="H1852" t="s">
        <v>1330</v>
      </c>
    </row>
    <row r="1853" spans="5:8" x14ac:dyDescent="0.2">
      <c r="G1853" t="str">
        <f>"14115.20"</f>
        <v>14115.20</v>
      </c>
      <c r="H1853" t="s">
        <v>1330</v>
      </c>
    </row>
    <row r="1854" spans="5:8" x14ac:dyDescent="0.2">
      <c r="F1854" t="str">
        <f>"14115.9"</f>
        <v>14115.9</v>
      </c>
      <c r="H1854" t="s">
        <v>1331</v>
      </c>
    </row>
    <row r="1855" spans="5:8" x14ac:dyDescent="0.2">
      <c r="G1855" t="str">
        <f>"14115.90"</f>
        <v>14115.90</v>
      </c>
      <c r="H1855" t="s">
        <v>1331</v>
      </c>
    </row>
    <row r="1856" spans="5:8" x14ac:dyDescent="0.2">
      <c r="E1856" t="str">
        <f>"14116"</f>
        <v>14116</v>
      </c>
      <c r="H1856" t="s">
        <v>1332</v>
      </c>
    </row>
    <row r="1857" spans="4:8" x14ac:dyDescent="0.2">
      <c r="F1857" t="str">
        <f>"14116.1"</f>
        <v>14116.1</v>
      </c>
      <c r="H1857" t="s">
        <v>1333</v>
      </c>
    </row>
    <row r="1858" spans="4:8" x14ac:dyDescent="0.2">
      <c r="G1858" t="str">
        <f>"14116.10"</f>
        <v>14116.10</v>
      </c>
      <c r="H1858" t="s">
        <v>1333</v>
      </c>
    </row>
    <row r="1859" spans="4:8" x14ac:dyDescent="0.2">
      <c r="F1859" t="str">
        <f>"14116.2"</f>
        <v>14116.2</v>
      </c>
      <c r="H1859" t="s">
        <v>1334</v>
      </c>
    </row>
    <row r="1860" spans="4:8" x14ac:dyDescent="0.2">
      <c r="G1860" t="str">
        <f>"14116.20"</f>
        <v>14116.20</v>
      </c>
      <c r="H1860" t="s">
        <v>1334</v>
      </c>
    </row>
    <row r="1861" spans="4:8" x14ac:dyDescent="0.2">
      <c r="F1861" t="str">
        <f>"14116.9"</f>
        <v>14116.9</v>
      </c>
      <c r="H1861" t="s">
        <v>1335</v>
      </c>
    </row>
    <row r="1862" spans="4:8" x14ac:dyDescent="0.2">
      <c r="G1862" t="str">
        <f>"14116.90"</f>
        <v>14116.90</v>
      </c>
      <c r="H1862" t="s">
        <v>1335</v>
      </c>
    </row>
    <row r="1863" spans="4:8" x14ac:dyDescent="0.2">
      <c r="D1863" t="str">
        <f>"1412"</f>
        <v>1412</v>
      </c>
      <c r="H1863" t="s">
        <v>1336</v>
      </c>
    </row>
    <row r="1864" spans="4:8" x14ac:dyDescent="0.2">
      <c r="E1864" t="str">
        <f>"14120"</f>
        <v>14120</v>
      </c>
      <c r="H1864" t="s">
        <v>1336</v>
      </c>
    </row>
    <row r="1865" spans="4:8" x14ac:dyDescent="0.2">
      <c r="F1865" t="str">
        <f>"14120.0"</f>
        <v>14120.0</v>
      </c>
      <c r="H1865" t="s">
        <v>1336</v>
      </c>
    </row>
    <row r="1866" spans="4:8" x14ac:dyDescent="0.2">
      <c r="G1866" t="str">
        <f>"14120.00"</f>
        <v>14120.00</v>
      </c>
      <c r="H1866" t="s">
        <v>1336</v>
      </c>
    </row>
    <row r="1867" spans="4:8" x14ac:dyDescent="0.2">
      <c r="D1867" t="str">
        <f>"1413"</f>
        <v>1413</v>
      </c>
      <c r="H1867" t="s">
        <v>1337</v>
      </c>
    </row>
    <row r="1868" spans="4:8" x14ac:dyDescent="0.2">
      <c r="E1868" t="str">
        <f>"14131"</f>
        <v>14131</v>
      </c>
      <c r="H1868" t="s">
        <v>1338</v>
      </c>
    </row>
    <row r="1869" spans="4:8" x14ac:dyDescent="0.2">
      <c r="F1869" t="str">
        <f>"14131.1"</f>
        <v>14131.1</v>
      </c>
      <c r="H1869" t="s">
        <v>1338</v>
      </c>
    </row>
    <row r="1870" spans="4:8" x14ac:dyDescent="0.2">
      <c r="G1870" t="str">
        <f>"14131.11"</f>
        <v>14131.11</v>
      </c>
      <c r="H1870" t="s">
        <v>1339</v>
      </c>
    </row>
    <row r="1871" spans="4:8" x14ac:dyDescent="0.2">
      <c r="G1871" t="str">
        <f>"14131.12"</f>
        <v>14131.12</v>
      </c>
      <c r="H1871" t="s">
        <v>1340</v>
      </c>
    </row>
    <row r="1872" spans="4:8" x14ac:dyDescent="0.2">
      <c r="G1872" t="str">
        <f>"14131.19"</f>
        <v>14131.19</v>
      </c>
      <c r="H1872" t="s">
        <v>1341</v>
      </c>
    </row>
    <row r="1873" spans="3:8" x14ac:dyDescent="0.2">
      <c r="F1873" t="str">
        <f>"14131.2"</f>
        <v>14131.2</v>
      </c>
      <c r="H1873" t="s">
        <v>1342</v>
      </c>
    </row>
    <row r="1874" spans="3:8" x14ac:dyDescent="0.2">
      <c r="G1874" t="str">
        <f>"14131.20"</f>
        <v>14131.20</v>
      </c>
      <c r="H1874" t="s">
        <v>1342</v>
      </c>
    </row>
    <row r="1875" spans="3:8" x14ac:dyDescent="0.2">
      <c r="F1875" t="str">
        <f>"14131.9"</f>
        <v>14131.9</v>
      </c>
      <c r="H1875" t="s">
        <v>1343</v>
      </c>
    </row>
    <row r="1876" spans="3:8" x14ac:dyDescent="0.2">
      <c r="G1876" t="str">
        <f>"14131.90"</f>
        <v>14131.90</v>
      </c>
      <c r="H1876" t="s">
        <v>1343</v>
      </c>
    </row>
    <row r="1877" spans="3:8" x14ac:dyDescent="0.2">
      <c r="E1877" t="str">
        <f>"14139"</f>
        <v>14139</v>
      </c>
      <c r="H1877" t="s">
        <v>1344</v>
      </c>
    </row>
    <row r="1878" spans="3:8" x14ac:dyDescent="0.2">
      <c r="F1878" t="str">
        <f>"14139.1"</f>
        <v>14139.1</v>
      </c>
      <c r="H1878" t="s">
        <v>1344</v>
      </c>
    </row>
    <row r="1879" spans="3:8" x14ac:dyDescent="0.2">
      <c r="G1879" t="str">
        <f>"14139.11"</f>
        <v>14139.11</v>
      </c>
      <c r="H1879" t="s">
        <v>1345</v>
      </c>
    </row>
    <row r="1880" spans="3:8" x14ac:dyDescent="0.2">
      <c r="G1880" t="str">
        <f>"14139.12"</f>
        <v>14139.12</v>
      </c>
      <c r="H1880" t="s">
        <v>1346</v>
      </c>
    </row>
    <row r="1881" spans="3:8" x14ac:dyDescent="0.2">
      <c r="G1881" t="str">
        <f>"14139.13"</f>
        <v>14139.13</v>
      </c>
      <c r="H1881" t="s">
        <v>1347</v>
      </c>
    </row>
    <row r="1882" spans="3:8" x14ac:dyDescent="0.2">
      <c r="F1882" t="str">
        <f>"14139.2"</f>
        <v>14139.2</v>
      </c>
      <c r="H1882" t="s">
        <v>1348</v>
      </c>
    </row>
    <row r="1883" spans="3:8" x14ac:dyDescent="0.2">
      <c r="G1883" t="str">
        <f>"14139.20"</f>
        <v>14139.20</v>
      </c>
      <c r="H1883" t="s">
        <v>1348</v>
      </c>
    </row>
    <row r="1884" spans="3:8" x14ac:dyDescent="0.2">
      <c r="F1884" t="str">
        <f>"14139.9"</f>
        <v>14139.9</v>
      </c>
      <c r="H1884" t="s">
        <v>1349</v>
      </c>
    </row>
    <row r="1885" spans="3:8" x14ac:dyDescent="0.2">
      <c r="G1885" t="str">
        <f>"14139.90"</f>
        <v>14139.90</v>
      </c>
      <c r="H1885" t="s">
        <v>1349</v>
      </c>
    </row>
    <row r="1886" spans="3:8" x14ac:dyDescent="0.2">
      <c r="C1886" t="str">
        <f>"142"</f>
        <v>142</v>
      </c>
      <c r="H1886" t="s">
        <v>1350</v>
      </c>
    </row>
    <row r="1887" spans="3:8" x14ac:dyDescent="0.2">
      <c r="D1887" t="str">
        <f>"1420"</f>
        <v>1420</v>
      </c>
      <c r="H1887" t="s">
        <v>1350</v>
      </c>
    </row>
    <row r="1888" spans="3:8" x14ac:dyDescent="0.2">
      <c r="E1888" t="str">
        <f>"14200"</f>
        <v>14200</v>
      </c>
      <c r="H1888" t="s">
        <v>1350</v>
      </c>
    </row>
    <row r="1889" spans="3:8" x14ac:dyDescent="0.2">
      <c r="F1889" t="str">
        <f>"14200.1"</f>
        <v>14200.1</v>
      </c>
      <c r="H1889" t="s">
        <v>1350</v>
      </c>
    </row>
    <row r="1890" spans="3:8" x14ac:dyDescent="0.2">
      <c r="G1890" t="str">
        <f>"14200.10"</f>
        <v>14200.10</v>
      </c>
      <c r="H1890" t="s">
        <v>1350</v>
      </c>
    </row>
    <row r="1891" spans="3:8" x14ac:dyDescent="0.2">
      <c r="F1891" t="str">
        <f>"14200.9"</f>
        <v>14200.9</v>
      </c>
      <c r="H1891" t="s">
        <v>1351</v>
      </c>
    </row>
    <row r="1892" spans="3:8" x14ac:dyDescent="0.2">
      <c r="G1892" t="str">
        <f>"14200.90"</f>
        <v>14200.90</v>
      </c>
      <c r="H1892" t="s">
        <v>1351</v>
      </c>
    </row>
    <row r="1893" spans="3:8" x14ac:dyDescent="0.2">
      <c r="C1893" t="str">
        <f>"143"</f>
        <v>143</v>
      </c>
      <c r="H1893" t="s">
        <v>1352</v>
      </c>
    </row>
    <row r="1894" spans="3:8" x14ac:dyDescent="0.2">
      <c r="D1894" t="str">
        <f>"1430"</f>
        <v>1430</v>
      </c>
      <c r="H1894" t="s">
        <v>1352</v>
      </c>
    </row>
    <row r="1895" spans="3:8" x14ac:dyDescent="0.2">
      <c r="E1895" t="str">
        <f>"14301"</f>
        <v>14301</v>
      </c>
      <c r="H1895" t="s">
        <v>1353</v>
      </c>
    </row>
    <row r="1896" spans="3:8" x14ac:dyDescent="0.2">
      <c r="F1896" t="str">
        <f>"14301.1"</f>
        <v>14301.1</v>
      </c>
      <c r="H1896" t="s">
        <v>1353</v>
      </c>
    </row>
    <row r="1897" spans="3:8" x14ac:dyDescent="0.2">
      <c r="G1897" t="str">
        <f>"14301.10"</f>
        <v>14301.10</v>
      </c>
      <c r="H1897" t="s">
        <v>1353</v>
      </c>
    </row>
    <row r="1898" spans="3:8" x14ac:dyDescent="0.2">
      <c r="F1898" t="str">
        <f>"14301.2"</f>
        <v>14301.2</v>
      </c>
      <c r="H1898" t="s">
        <v>1354</v>
      </c>
    </row>
    <row r="1899" spans="3:8" x14ac:dyDescent="0.2">
      <c r="G1899" t="str">
        <f>"14301.20"</f>
        <v>14301.20</v>
      </c>
      <c r="H1899" t="s">
        <v>1354</v>
      </c>
    </row>
    <row r="1900" spans="3:8" x14ac:dyDescent="0.2">
      <c r="F1900" t="str">
        <f>"14301.9"</f>
        <v>14301.9</v>
      </c>
      <c r="H1900" t="s">
        <v>1355</v>
      </c>
    </row>
    <row r="1901" spans="3:8" x14ac:dyDescent="0.2">
      <c r="G1901" t="str">
        <f>"14301.90"</f>
        <v>14301.90</v>
      </c>
      <c r="H1901" t="s">
        <v>1355</v>
      </c>
    </row>
    <row r="1902" spans="3:8" x14ac:dyDescent="0.2">
      <c r="E1902" t="str">
        <f>"14302"</f>
        <v>14302</v>
      </c>
      <c r="H1902" t="s">
        <v>1356</v>
      </c>
    </row>
    <row r="1903" spans="3:8" x14ac:dyDescent="0.2">
      <c r="F1903" t="str">
        <f>"14302.1"</f>
        <v>14302.1</v>
      </c>
      <c r="H1903" t="s">
        <v>1357</v>
      </c>
    </row>
    <row r="1904" spans="3:8" x14ac:dyDescent="0.2">
      <c r="G1904" t="str">
        <f>"14302.10"</f>
        <v>14302.10</v>
      </c>
      <c r="H1904" t="s">
        <v>1357</v>
      </c>
    </row>
    <row r="1905" spans="2:8" x14ac:dyDescent="0.2">
      <c r="F1905" t="str">
        <f>"14302.2"</f>
        <v>14302.2</v>
      </c>
      <c r="H1905" t="s">
        <v>1358</v>
      </c>
    </row>
    <row r="1906" spans="2:8" x14ac:dyDescent="0.2">
      <c r="G1906" t="str">
        <f>"14302.21"</f>
        <v>14302.21</v>
      </c>
      <c r="H1906" t="s">
        <v>1359</v>
      </c>
    </row>
    <row r="1907" spans="2:8" x14ac:dyDescent="0.2">
      <c r="G1907" t="str">
        <f>"14302.29"</f>
        <v>14302.29</v>
      </c>
      <c r="H1907" t="s">
        <v>1360</v>
      </c>
    </row>
    <row r="1908" spans="2:8" x14ac:dyDescent="0.2">
      <c r="F1908" t="str">
        <f>"14302.9"</f>
        <v>14302.9</v>
      </c>
      <c r="H1908" t="s">
        <v>1361</v>
      </c>
    </row>
    <row r="1909" spans="2:8" x14ac:dyDescent="0.2">
      <c r="G1909" t="str">
        <f>"14302.90"</f>
        <v>14302.90</v>
      </c>
      <c r="H1909" t="s">
        <v>1361</v>
      </c>
    </row>
    <row r="1910" spans="2:8" x14ac:dyDescent="0.2">
      <c r="B1910" t="str">
        <f>"15"</f>
        <v>15</v>
      </c>
      <c r="H1910" t="s">
        <v>1362</v>
      </c>
    </row>
    <row r="1911" spans="2:8" x14ac:dyDescent="0.2">
      <c r="C1911" t="str">
        <f>"151"</f>
        <v>151</v>
      </c>
      <c r="H1911" t="s">
        <v>1363</v>
      </c>
    </row>
    <row r="1912" spans="2:8" x14ac:dyDescent="0.2">
      <c r="D1912" t="str">
        <f>"1511"</f>
        <v>1511</v>
      </c>
      <c r="H1912" t="s">
        <v>1364</v>
      </c>
    </row>
    <row r="1913" spans="2:8" x14ac:dyDescent="0.2">
      <c r="E1913" t="str">
        <f>"15110"</f>
        <v>15110</v>
      </c>
      <c r="H1913" t="s">
        <v>1365</v>
      </c>
    </row>
    <row r="1914" spans="2:8" x14ac:dyDescent="0.2">
      <c r="F1914" t="str">
        <f>"15110.1"</f>
        <v>15110.1</v>
      </c>
      <c r="H1914" t="s">
        <v>1366</v>
      </c>
    </row>
    <row r="1915" spans="2:8" x14ac:dyDescent="0.2">
      <c r="G1915" t="str">
        <f>"15110.10"</f>
        <v>15110.10</v>
      </c>
      <c r="H1915" t="s">
        <v>1366</v>
      </c>
    </row>
    <row r="1916" spans="2:8" x14ac:dyDescent="0.2">
      <c r="F1916" t="str">
        <f>"15110.2"</f>
        <v>15110.2</v>
      </c>
      <c r="H1916" t="s">
        <v>1367</v>
      </c>
    </row>
    <row r="1917" spans="2:8" x14ac:dyDescent="0.2">
      <c r="G1917" t="str">
        <f>"15110.21"</f>
        <v>15110.21</v>
      </c>
      <c r="H1917" t="s">
        <v>1368</v>
      </c>
    </row>
    <row r="1918" spans="2:8" x14ac:dyDescent="0.2">
      <c r="G1918" t="str">
        <f>"15110.22"</f>
        <v>15110.22</v>
      </c>
      <c r="H1918" t="s">
        <v>1369</v>
      </c>
    </row>
    <row r="1919" spans="2:8" x14ac:dyDescent="0.2">
      <c r="F1919" t="str">
        <f>"15110.3"</f>
        <v>15110.3</v>
      </c>
      <c r="H1919" t="s">
        <v>1370</v>
      </c>
    </row>
    <row r="1920" spans="2:8" x14ac:dyDescent="0.2">
      <c r="G1920" t="str">
        <f>"15110.31"</f>
        <v>15110.31</v>
      </c>
      <c r="H1920" t="s">
        <v>1371</v>
      </c>
    </row>
    <row r="1921" spans="4:8" x14ac:dyDescent="0.2">
      <c r="G1921" t="str">
        <f>"15110.32"</f>
        <v>15110.32</v>
      </c>
      <c r="H1921" t="s">
        <v>1372</v>
      </c>
    </row>
    <row r="1922" spans="4:8" x14ac:dyDescent="0.2">
      <c r="G1922" t="str">
        <f>"15110.33"</f>
        <v>15110.33</v>
      </c>
      <c r="H1922" t="s">
        <v>1373</v>
      </c>
    </row>
    <row r="1923" spans="4:8" x14ac:dyDescent="0.2">
      <c r="F1923" t="str">
        <f>"15110.4"</f>
        <v>15110.4</v>
      </c>
      <c r="H1923" t="s">
        <v>1374</v>
      </c>
    </row>
    <row r="1924" spans="4:8" x14ac:dyDescent="0.2">
      <c r="G1924" t="str">
        <f>"15110.41"</f>
        <v>15110.41</v>
      </c>
      <c r="H1924" t="s">
        <v>1375</v>
      </c>
    </row>
    <row r="1925" spans="4:8" x14ac:dyDescent="0.2">
      <c r="G1925" t="str">
        <f>"15110.42"</f>
        <v>15110.42</v>
      </c>
      <c r="H1925" t="s">
        <v>1376</v>
      </c>
    </row>
    <row r="1926" spans="4:8" x14ac:dyDescent="0.2">
      <c r="G1926" t="str">
        <f>"15110.43"</f>
        <v>15110.43</v>
      </c>
      <c r="H1926" t="s">
        <v>1377</v>
      </c>
    </row>
    <row r="1927" spans="4:8" x14ac:dyDescent="0.2">
      <c r="F1927" t="str">
        <f>"15110.5"</f>
        <v>15110.5</v>
      </c>
      <c r="H1927" t="s">
        <v>1378</v>
      </c>
    </row>
    <row r="1928" spans="4:8" x14ac:dyDescent="0.2">
      <c r="G1928" t="str">
        <f>"15110.51"</f>
        <v>15110.51</v>
      </c>
      <c r="H1928" t="s">
        <v>1379</v>
      </c>
    </row>
    <row r="1929" spans="4:8" x14ac:dyDescent="0.2">
      <c r="G1929" t="str">
        <f>"15110.52"</f>
        <v>15110.52</v>
      </c>
      <c r="H1929" t="s">
        <v>1380</v>
      </c>
    </row>
    <row r="1930" spans="4:8" x14ac:dyDescent="0.2">
      <c r="F1930" t="str">
        <f>"15110.9"</f>
        <v>15110.9</v>
      </c>
      <c r="H1930" t="s">
        <v>1381</v>
      </c>
    </row>
    <row r="1931" spans="4:8" x14ac:dyDescent="0.2">
      <c r="G1931" t="str">
        <f>"15110.90"</f>
        <v>15110.90</v>
      </c>
      <c r="H1931" t="s">
        <v>1381</v>
      </c>
    </row>
    <row r="1932" spans="4:8" x14ac:dyDescent="0.2">
      <c r="D1932" t="str">
        <f>"1512"</f>
        <v>1512</v>
      </c>
      <c r="H1932" t="s">
        <v>1382</v>
      </c>
    </row>
    <row r="1933" spans="4:8" x14ac:dyDescent="0.2">
      <c r="E1933" t="str">
        <f>"15121"</f>
        <v>15121</v>
      </c>
      <c r="H1933" t="s">
        <v>1383</v>
      </c>
    </row>
    <row r="1934" spans="4:8" x14ac:dyDescent="0.2">
      <c r="F1934" t="str">
        <f>"15121.1"</f>
        <v>15121.1</v>
      </c>
      <c r="H1934" t="s">
        <v>1383</v>
      </c>
    </row>
    <row r="1935" spans="4:8" x14ac:dyDescent="0.2">
      <c r="G1935" t="str">
        <f>"15121.11"</f>
        <v>15121.11</v>
      </c>
      <c r="H1935" t="s">
        <v>1384</v>
      </c>
    </row>
    <row r="1936" spans="4:8" x14ac:dyDescent="0.2">
      <c r="G1936" t="str">
        <f>"15121.12"</f>
        <v>15121.12</v>
      </c>
      <c r="H1936" t="s">
        <v>1385</v>
      </c>
    </row>
    <row r="1937" spans="3:8" x14ac:dyDescent="0.2">
      <c r="F1937" t="str">
        <f>"15121.9"</f>
        <v>15121.9</v>
      </c>
      <c r="H1937" t="s">
        <v>1386</v>
      </c>
    </row>
    <row r="1938" spans="3:8" x14ac:dyDescent="0.2">
      <c r="G1938" t="str">
        <f>"15121.90"</f>
        <v>15121.90</v>
      </c>
      <c r="H1938" t="s">
        <v>1386</v>
      </c>
    </row>
    <row r="1939" spans="3:8" x14ac:dyDescent="0.2">
      <c r="E1939" t="str">
        <f>"15122"</f>
        <v>15122</v>
      </c>
      <c r="H1939" t="s">
        <v>1387</v>
      </c>
    </row>
    <row r="1940" spans="3:8" x14ac:dyDescent="0.2">
      <c r="F1940" t="str">
        <f>"15122.1"</f>
        <v>15122.1</v>
      </c>
      <c r="H1940" t="s">
        <v>1388</v>
      </c>
    </row>
    <row r="1941" spans="3:8" x14ac:dyDescent="0.2">
      <c r="G1941" t="str">
        <f>"15122.10"</f>
        <v>15122.10</v>
      </c>
      <c r="H1941" t="s">
        <v>1389</v>
      </c>
    </row>
    <row r="1942" spans="3:8" x14ac:dyDescent="0.2">
      <c r="F1942" t="str">
        <f>"15122.9"</f>
        <v>15122.9</v>
      </c>
      <c r="H1942" t="s">
        <v>1390</v>
      </c>
    </row>
    <row r="1943" spans="3:8" x14ac:dyDescent="0.2">
      <c r="G1943" t="str">
        <f>"15122.90"</f>
        <v>15122.90</v>
      </c>
      <c r="H1943" t="s">
        <v>1390</v>
      </c>
    </row>
    <row r="1944" spans="3:8" x14ac:dyDescent="0.2">
      <c r="E1944" t="str">
        <f>"15129"</f>
        <v>15129</v>
      </c>
      <c r="H1944" t="s">
        <v>1391</v>
      </c>
    </row>
    <row r="1945" spans="3:8" x14ac:dyDescent="0.2">
      <c r="F1945" t="str">
        <f>"15129.1"</f>
        <v>15129.1</v>
      </c>
      <c r="H1945" t="s">
        <v>1391</v>
      </c>
    </row>
    <row r="1946" spans="3:8" x14ac:dyDescent="0.2">
      <c r="G1946" t="str">
        <f>"15129.10"</f>
        <v>15129.10</v>
      </c>
      <c r="H1946" t="s">
        <v>1391</v>
      </c>
    </row>
    <row r="1947" spans="3:8" x14ac:dyDescent="0.2">
      <c r="F1947" t="str">
        <f>"15129.9"</f>
        <v>15129.9</v>
      </c>
      <c r="H1947" t="s">
        <v>1392</v>
      </c>
    </row>
    <row r="1948" spans="3:8" x14ac:dyDescent="0.2">
      <c r="G1948" t="str">
        <f>"15129.90"</f>
        <v>15129.90</v>
      </c>
      <c r="H1948" t="s">
        <v>1392</v>
      </c>
    </row>
    <row r="1949" spans="3:8" x14ac:dyDescent="0.2">
      <c r="C1949" t="str">
        <f>"152"</f>
        <v>152</v>
      </c>
      <c r="H1949" t="s">
        <v>1393</v>
      </c>
    </row>
    <row r="1950" spans="3:8" x14ac:dyDescent="0.2">
      <c r="D1950" t="str">
        <f>"1520"</f>
        <v>1520</v>
      </c>
      <c r="H1950" t="s">
        <v>1393</v>
      </c>
    </row>
    <row r="1951" spans="3:8" x14ac:dyDescent="0.2">
      <c r="E1951" t="str">
        <f>"15201"</f>
        <v>15201</v>
      </c>
      <c r="H1951" t="s">
        <v>1394</v>
      </c>
    </row>
    <row r="1952" spans="3:8" x14ac:dyDescent="0.2">
      <c r="F1952" t="str">
        <f>"15201.1"</f>
        <v>15201.1</v>
      </c>
      <c r="H1952" t="s">
        <v>1394</v>
      </c>
    </row>
    <row r="1953" spans="5:8" x14ac:dyDescent="0.2">
      <c r="G1953" t="str">
        <f>"15201.10"</f>
        <v>15201.10</v>
      </c>
      <c r="H1953" t="s">
        <v>1394</v>
      </c>
    </row>
    <row r="1954" spans="5:8" x14ac:dyDescent="0.2">
      <c r="F1954" t="str">
        <f>"15201.9"</f>
        <v>15201.9</v>
      </c>
      <c r="H1954" t="s">
        <v>1395</v>
      </c>
    </row>
    <row r="1955" spans="5:8" x14ac:dyDescent="0.2">
      <c r="G1955" t="str">
        <f>"15201.90"</f>
        <v>15201.90</v>
      </c>
      <c r="H1955" t="s">
        <v>1395</v>
      </c>
    </row>
    <row r="1956" spans="5:8" x14ac:dyDescent="0.2">
      <c r="E1956" t="str">
        <f>"15202"</f>
        <v>15202</v>
      </c>
      <c r="H1956" t="s">
        <v>1396</v>
      </c>
    </row>
    <row r="1957" spans="5:8" x14ac:dyDescent="0.2">
      <c r="F1957" t="str">
        <f>"15202.1"</f>
        <v>15202.1</v>
      </c>
      <c r="H1957" t="s">
        <v>1396</v>
      </c>
    </row>
    <row r="1958" spans="5:8" x14ac:dyDescent="0.2">
      <c r="G1958" t="str">
        <f>"15202.10"</f>
        <v>15202.10</v>
      </c>
      <c r="H1958" t="s">
        <v>1396</v>
      </c>
    </row>
    <row r="1959" spans="5:8" x14ac:dyDescent="0.2">
      <c r="F1959" t="str">
        <f>"15202.9"</f>
        <v>15202.9</v>
      </c>
      <c r="H1959" t="s">
        <v>1397</v>
      </c>
    </row>
    <row r="1960" spans="5:8" x14ac:dyDescent="0.2">
      <c r="G1960" t="str">
        <f>"15202.90"</f>
        <v>15202.90</v>
      </c>
      <c r="H1960" t="s">
        <v>1397</v>
      </c>
    </row>
    <row r="1961" spans="5:8" x14ac:dyDescent="0.2">
      <c r="E1961" t="str">
        <f>"15203"</f>
        <v>15203</v>
      </c>
      <c r="H1961" t="s">
        <v>1398</v>
      </c>
    </row>
    <row r="1962" spans="5:8" x14ac:dyDescent="0.2">
      <c r="F1962" t="str">
        <f>"15203.1"</f>
        <v>15203.1</v>
      </c>
      <c r="H1962" t="s">
        <v>1398</v>
      </c>
    </row>
    <row r="1963" spans="5:8" x14ac:dyDescent="0.2">
      <c r="G1963" t="str">
        <f>"15203.10"</f>
        <v>15203.10</v>
      </c>
      <c r="H1963" t="s">
        <v>1398</v>
      </c>
    </row>
    <row r="1964" spans="5:8" x14ac:dyDescent="0.2">
      <c r="F1964" t="str">
        <f>"15203.9"</f>
        <v>15203.9</v>
      </c>
      <c r="H1964" t="s">
        <v>1399</v>
      </c>
    </row>
    <row r="1965" spans="5:8" x14ac:dyDescent="0.2">
      <c r="G1965" t="str">
        <f>"15203.90"</f>
        <v>15203.90</v>
      </c>
      <c r="H1965" t="s">
        <v>1399</v>
      </c>
    </row>
    <row r="1966" spans="5:8" x14ac:dyDescent="0.2">
      <c r="E1966" t="str">
        <f>"15204"</f>
        <v>15204</v>
      </c>
      <c r="H1966" t="s">
        <v>1400</v>
      </c>
    </row>
    <row r="1967" spans="5:8" x14ac:dyDescent="0.2">
      <c r="F1967" t="str">
        <f>"15204.1"</f>
        <v>15204.1</v>
      </c>
      <c r="H1967" t="s">
        <v>1400</v>
      </c>
    </row>
    <row r="1968" spans="5:8" x14ac:dyDescent="0.2">
      <c r="G1968" t="str">
        <f>"15204.11"</f>
        <v>15204.11</v>
      </c>
      <c r="H1968" t="s">
        <v>1401</v>
      </c>
    </row>
    <row r="1969" spans="2:8" x14ac:dyDescent="0.2">
      <c r="G1969" t="str">
        <f>"15204.19"</f>
        <v>15204.19</v>
      </c>
      <c r="H1969" t="s">
        <v>1402</v>
      </c>
    </row>
    <row r="1970" spans="2:8" x14ac:dyDescent="0.2">
      <c r="F1970" t="str">
        <f>"15204.9"</f>
        <v>15204.9</v>
      </c>
      <c r="H1970" t="s">
        <v>1403</v>
      </c>
    </row>
    <row r="1971" spans="2:8" x14ac:dyDescent="0.2">
      <c r="G1971" t="str">
        <f>"15204.90"</f>
        <v>15204.90</v>
      </c>
      <c r="H1971" t="s">
        <v>1403</v>
      </c>
    </row>
    <row r="1972" spans="2:8" x14ac:dyDescent="0.2">
      <c r="E1972" t="str">
        <f>"15209"</f>
        <v>15209</v>
      </c>
      <c r="H1972" t="s">
        <v>1404</v>
      </c>
    </row>
    <row r="1973" spans="2:8" x14ac:dyDescent="0.2">
      <c r="F1973" t="str">
        <f>"15209.1"</f>
        <v>15209.1</v>
      </c>
      <c r="H1973" t="s">
        <v>1404</v>
      </c>
    </row>
    <row r="1974" spans="2:8" x14ac:dyDescent="0.2">
      <c r="G1974" t="str">
        <f>"15209.11"</f>
        <v>15209.11</v>
      </c>
      <c r="H1974" t="s">
        <v>1405</v>
      </c>
    </row>
    <row r="1975" spans="2:8" x14ac:dyDescent="0.2">
      <c r="G1975" t="str">
        <f>"15209.12"</f>
        <v>15209.12</v>
      </c>
      <c r="H1975" t="s">
        <v>1406</v>
      </c>
    </row>
    <row r="1976" spans="2:8" x14ac:dyDescent="0.2">
      <c r="G1976" t="str">
        <f>"15209.13"</f>
        <v>15209.13</v>
      </c>
      <c r="H1976" t="s">
        <v>1407</v>
      </c>
    </row>
    <row r="1977" spans="2:8" x14ac:dyDescent="0.2">
      <c r="G1977" t="str">
        <f>"15209.19"</f>
        <v>15209.19</v>
      </c>
      <c r="H1977" t="s">
        <v>1408</v>
      </c>
    </row>
    <row r="1978" spans="2:8" x14ac:dyDescent="0.2">
      <c r="F1978" t="str">
        <f>"15209.2"</f>
        <v>15209.2</v>
      </c>
      <c r="H1978" t="s">
        <v>1409</v>
      </c>
    </row>
    <row r="1979" spans="2:8" x14ac:dyDescent="0.2">
      <c r="G1979" t="str">
        <f>"15209.20"</f>
        <v>15209.20</v>
      </c>
      <c r="H1979" t="s">
        <v>1409</v>
      </c>
    </row>
    <row r="1980" spans="2:8" x14ac:dyDescent="0.2">
      <c r="F1980" t="str">
        <f>"15209.9"</f>
        <v>15209.9</v>
      </c>
      <c r="H1980" t="s">
        <v>1410</v>
      </c>
    </row>
    <row r="1981" spans="2:8" x14ac:dyDescent="0.2">
      <c r="G1981" t="str">
        <f>"15209.90"</f>
        <v>15209.90</v>
      </c>
      <c r="H1981" t="s">
        <v>1410</v>
      </c>
    </row>
    <row r="1982" spans="2:8" x14ac:dyDescent="0.2">
      <c r="B1982" t="str">
        <f>"16"</f>
        <v>16</v>
      </c>
      <c r="H1982" t="s">
        <v>1411</v>
      </c>
    </row>
    <row r="1983" spans="2:8" x14ac:dyDescent="0.2">
      <c r="C1983" t="str">
        <f>"161"</f>
        <v>161</v>
      </c>
      <c r="H1983" t="s">
        <v>1412</v>
      </c>
    </row>
    <row r="1984" spans="2:8" x14ac:dyDescent="0.2">
      <c r="D1984" t="str">
        <f>"1610"</f>
        <v>1610</v>
      </c>
      <c r="H1984" t="s">
        <v>1412</v>
      </c>
    </row>
    <row r="1985" spans="5:8" x14ac:dyDescent="0.2">
      <c r="E1985" t="str">
        <f>"16101"</f>
        <v>16101</v>
      </c>
      <c r="H1985" t="s">
        <v>1413</v>
      </c>
    </row>
    <row r="1986" spans="5:8" x14ac:dyDescent="0.2">
      <c r="F1986" t="str">
        <f>"16101.1"</f>
        <v>16101.1</v>
      </c>
      <c r="H1986" t="s">
        <v>1414</v>
      </c>
    </row>
    <row r="1987" spans="5:8" x14ac:dyDescent="0.2">
      <c r="G1987" t="str">
        <f>"16101.10"</f>
        <v>16101.10</v>
      </c>
      <c r="H1987" t="s">
        <v>1414</v>
      </c>
    </row>
    <row r="1988" spans="5:8" x14ac:dyDescent="0.2">
      <c r="F1988" t="str">
        <f>"16101.2"</f>
        <v>16101.2</v>
      </c>
      <c r="H1988" t="s">
        <v>1415</v>
      </c>
    </row>
    <row r="1989" spans="5:8" x14ac:dyDescent="0.2">
      <c r="G1989" t="str">
        <f>"16101.21"</f>
        <v>16101.21</v>
      </c>
      <c r="H1989" t="s">
        <v>1416</v>
      </c>
    </row>
    <row r="1990" spans="5:8" x14ac:dyDescent="0.2">
      <c r="G1990" t="str">
        <f>"16101.22"</f>
        <v>16101.22</v>
      </c>
      <c r="H1990" t="s">
        <v>1417</v>
      </c>
    </row>
    <row r="1991" spans="5:8" x14ac:dyDescent="0.2">
      <c r="G1991" t="str">
        <f>"16101.23"</f>
        <v>16101.23</v>
      </c>
      <c r="H1991" t="s">
        <v>1418</v>
      </c>
    </row>
    <row r="1992" spans="5:8" x14ac:dyDescent="0.2">
      <c r="F1992" t="str">
        <f>"16101.9"</f>
        <v>16101.9</v>
      </c>
      <c r="H1992" t="s">
        <v>1419</v>
      </c>
    </row>
    <row r="1993" spans="5:8" x14ac:dyDescent="0.2">
      <c r="G1993" t="str">
        <f>"16101.90"</f>
        <v>16101.90</v>
      </c>
      <c r="H1993" t="s">
        <v>1419</v>
      </c>
    </row>
    <row r="1994" spans="5:8" x14ac:dyDescent="0.2">
      <c r="E1994" t="str">
        <f>"16102"</f>
        <v>16102</v>
      </c>
      <c r="H1994" t="s">
        <v>1420</v>
      </c>
    </row>
    <row r="1995" spans="5:8" x14ac:dyDescent="0.2">
      <c r="F1995" t="str">
        <f>"16102.1"</f>
        <v>16102.1</v>
      </c>
      <c r="H1995" t="s">
        <v>1421</v>
      </c>
    </row>
    <row r="1996" spans="5:8" x14ac:dyDescent="0.2">
      <c r="G1996" t="str">
        <f>"16102.11"</f>
        <v>16102.11</v>
      </c>
      <c r="H1996" t="s">
        <v>1422</v>
      </c>
    </row>
    <row r="1997" spans="5:8" x14ac:dyDescent="0.2">
      <c r="G1997" t="str">
        <f>"16102.12"</f>
        <v>16102.12</v>
      </c>
      <c r="H1997" t="s">
        <v>1423</v>
      </c>
    </row>
    <row r="1998" spans="5:8" x14ac:dyDescent="0.2">
      <c r="G1998" t="str">
        <f>"16102.19"</f>
        <v>16102.19</v>
      </c>
      <c r="H1998" t="s">
        <v>1424</v>
      </c>
    </row>
    <row r="1999" spans="5:8" x14ac:dyDescent="0.2">
      <c r="F1999" t="str">
        <f>"16102.9"</f>
        <v>16102.9</v>
      </c>
      <c r="H1999" t="s">
        <v>1425</v>
      </c>
    </row>
    <row r="2000" spans="5:8" x14ac:dyDescent="0.2">
      <c r="G2000" t="str">
        <f>"16102.90"</f>
        <v>16102.90</v>
      </c>
      <c r="H2000" t="s">
        <v>1425</v>
      </c>
    </row>
    <row r="2001" spans="3:8" x14ac:dyDescent="0.2">
      <c r="C2001" t="str">
        <f>"162"</f>
        <v>162</v>
      </c>
      <c r="H2001" t="s">
        <v>1426</v>
      </c>
    </row>
    <row r="2002" spans="3:8" x14ac:dyDescent="0.2">
      <c r="D2002" t="str">
        <f>"1621"</f>
        <v>1621</v>
      </c>
      <c r="H2002" t="s">
        <v>1427</v>
      </c>
    </row>
    <row r="2003" spans="3:8" x14ac:dyDescent="0.2">
      <c r="E2003" t="str">
        <f>"16210"</f>
        <v>16210</v>
      </c>
      <c r="H2003" t="s">
        <v>1427</v>
      </c>
    </row>
    <row r="2004" spans="3:8" x14ac:dyDescent="0.2">
      <c r="F2004" t="str">
        <f>"16210.1"</f>
        <v>16210.1</v>
      </c>
      <c r="H2004" t="s">
        <v>1428</v>
      </c>
    </row>
    <row r="2005" spans="3:8" x14ac:dyDescent="0.2">
      <c r="G2005" t="str">
        <f>"16210.11"</f>
        <v>16210.11</v>
      </c>
      <c r="H2005" t="s">
        <v>1429</v>
      </c>
    </row>
    <row r="2006" spans="3:8" x14ac:dyDescent="0.2">
      <c r="G2006" t="str">
        <f>"16210.12"</f>
        <v>16210.12</v>
      </c>
      <c r="H2006" t="s">
        <v>1430</v>
      </c>
    </row>
    <row r="2007" spans="3:8" x14ac:dyDescent="0.2">
      <c r="G2007" t="str">
        <f>"16210.13"</f>
        <v>16210.13</v>
      </c>
      <c r="H2007" t="s">
        <v>1431</v>
      </c>
    </row>
    <row r="2008" spans="3:8" x14ac:dyDescent="0.2">
      <c r="G2008" t="str">
        <f>"16210.14"</f>
        <v>16210.14</v>
      </c>
      <c r="H2008" t="s">
        <v>1432</v>
      </c>
    </row>
    <row r="2009" spans="3:8" x14ac:dyDescent="0.2">
      <c r="F2009" t="str">
        <f>"16210.2"</f>
        <v>16210.2</v>
      </c>
      <c r="H2009" t="s">
        <v>1433</v>
      </c>
    </row>
    <row r="2010" spans="3:8" x14ac:dyDescent="0.2">
      <c r="G2010" t="str">
        <f>"16210.21"</f>
        <v>16210.21</v>
      </c>
      <c r="H2010" t="s">
        <v>1434</v>
      </c>
    </row>
    <row r="2011" spans="3:8" x14ac:dyDescent="0.2">
      <c r="G2011" t="str">
        <f>"16210.22"</f>
        <v>16210.22</v>
      </c>
      <c r="H2011" t="s">
        <v>1435</v>
      </c>
    </row>
    <row r="2012" spans="3:8" x14ac:dyDescent="0.2">
      <c r="F2012" t="str">
        <f>"16210.9"</f>
        <v>16210.9</v>
      </c>
      <c r="H2012" t="s">
        <v>1436</v>
      </c>
    </row>
    <row r="2013" spans="3:8" x14ac:dyDescent="0.2">
      <c r="G2013" t="str">
        <f>"16210.90"</f>
        <v>16210.90</v>
      </c>
      <c r="H2013" t="s">
        <v>1436</v>
      </c>
    </row>
    <row r="2014" spans="3:8" x14ac:dyDescent="0.2">
      <c r="D2014" t="str">
        <f>"1622"</f>
        <v>1622</v>
      </c>
      <c r="H2014" t="s">
        <v>1437</v>
      </c>
    </row>
    <row r="2015" spans="3:8" x14ac:dyDescent="0.2">
      <c r="E2015" t="str">
        <f>"16220"</f>
        <v>16220</v>
      </c>
      <c r="H2015" t="s">
        <v>1437</v>
      </c>
    </row>
    <row r="2016" spans="3:8" x14ac:dyDescent="0.2">
      <c r="F2016" t="str">
        <f>"16220.1"</f>
        <v>16220.1</v>
      </c>
      <c r="H2016" t="s">
        <v>1438</v>
      </c>
    </row>
    <row r="2017" spans="4:8" x14ac:dyDescent="0.2">
      <c r="G2017" t="str">
        <f>"16220.10"</f>
        <v>16220.10</v>
      </c>
      <c r="H2017" t="s">
        <v>1439</v>
      </c>
    </row>
    <row r="2018" spans="4:8" x14ac:dyDescent="0.2">
      <c r="F2018" t="str">
        <f>"16220.2"</f>
        <v>16220.2</v>
      </c>
      <c r="H2018" t="s">
        <v>1440</v>
      </c>
    </row>
    <row r="2019" spans="4:8" x14ac:dyDescent="0.2">
      <c r="G2019" t="str">
        <f>"16220.21"</f>
        <v>16220.21</v>
      </c>
      <c r="H2019" t="s">
        <v>1441</v>
      </c>
    </row>
    <row r="2020" spans="4:8" x14ac:dyDescent="0.2">
      <c r="G2020" t="str">
        <f>"16220.22"</f>
        <v>16220.22</v>
      </c>
      <c r="H2020" t="s">
        <v>1442</v>
      </c>
    </row>
    <row r="2021" spans="4:8" x14ac:dyDescent="0.2">
      <c r="G2021" t="str">
        <f>"16220.29"</f>
        <v>16220.29</v>
      </c>
      <c r="H2021" t="s">
        <v>1443</v>
      </c>
    </row>
    <row r="2022" spans="4:8" x14ac:dyDescent="0.2">
      <c r="F2022" t="str">
        <f>"16220.3"</f>
        <v>16220.3</v>
      </c>
      <c r="H2022" t="s">
        <v>1444</v>
      </c>
    </row>
    <row r="2023" spans="4:8" x14ac:dyDescent="0.2">
      <c r="G2023" t="str">
        <f>"16220.30"</f>
        <v>16220.30</v>
      </c>
      <c r="H2023" t="s">
        <v>1444</v>
      </c>
    </row>
    <row r="2024" spans="4:8" x14ac:dyDescent="0.2">
      <c r="F2024" t="str">
        <f>"16220.9"</f>
        <v>16220.9</v>
      </c>
      <c r="H2024" t="s">
        <v>1445</v>
      </c>
    </row>
    <row r="2025" spans="4:8" x14ac:dyDescent="0.2">
      <c r="G2025" t="str">
        <f>"16220.90"</f>
        <v>16220.90</v>
      </c>
      <c r="H2025" t="s">
        <v>1446</v>
      </c>
    </row>
    <row r="2026" spans="4:8" x14ac:dyDescent="0.2">
      <c r="D2026" t="str">
        <f>"1623"</f>
        <v>1623</v>
      </c>
      <c r="H2026" t="s">
        <v>1447</v>
      </c>
    </row>
    <row r="2027" spans="4:8" x14ac:dyDescent="0.2">
      <c r="E2027" t="str">
        <f>"16230"</f>
        <v>16230</v>
      </c>
      <c r="H2027" t="s">
        <v>1447</v>
      </c>
    </row>
    <row r="2028" spans="4:8" x14ac:dyDescent="0.2">
      <c r="F2028" t="str">
        <f>"16230.1"</f>
        <v>16230.1</v>
      </c>
      <c r="H2028" t="s">
        <v>1447</v>
      </c>
    </row>
    <row r="2029" spans="4:8" x14ac:dyDescent="0.2">
      <c r="G2029" t="str">
        <f>"16230.11"</f>
        <v>16230.11</v>
      </c>
      <c r="H2029" t="s">
        <v>1448</v>
      </c>
    </row>
    <row r="2030" spans="4:8" x14ac:dyDescent="0.2">
      <c r="G2030" t="str">
        <f>"16230.12"</f>
        <v>16230.12</v>
      </c>
      <c r="H2030" t="s">
        <v>1449</v>
      </c>
    </row>
    <row r="2031" spans="4:8" x14ac:dyDescent="0.2">
      <c r="G2031" t="str">
        <f>"16230.13"</f>
        <v>16230.13</v>
      </c>
      <c r="H2031" t="s">
        <v>1450</v>
      </c>
    </row>
    <row r="2032" spans="4:8" x14ac:dyDescent="0.2">
      <c r="F2032" t="str">
        <f>"16230.9"</f>
        <v>16230.9</v>
      </c>
      <c r="H2032" t="s">
        <v>1451</v>
      </c>
    </row>
    <row r="2033" spans="4:8" x14ac:dyDescent="0.2">
      <c r="G2033" t="str">
        <f>"16230.90"</f>
        <v>16230.90</v>
      </c>
      <c r="H2033" t="s">
        <v>1451</v>
      </c>
    </row>
    <row r="2034" spans="4:8" x14ac:dyDescent="0.2">
      <c r="D2034" t="str">
        <f>"1629"</f>
        <v>1629</v>
      </c>
      <c r="H2034" t="s">
        <v>1452</v>
      </c>
    </row>
    <row r="2035" spans="4:8" x14ac:dyDescent="0.2">
      <c r="E2035" t="str">
        <f>"16291"</f>
        <v>16291</v>
      </c>
      <c r="H2035" t="s">
        <v>1453</v>
      </c>
    </row>
    <row r="2036" spans="4:8" x14ac:dyDescent="0.2">
      <c r="F2036" t="str">
        <f>"16291.1"</f>
        <v>16291.1</v>
      </c>
      <c r="H2036" t="s">
        <v>1453</v>
      </c>
    </row>
    <row r="2037" spans="4:8" x14ac:dyDescent="0.2">
      <c r="G2037" t="str">
        <f>"16291.11"</f>
        <v>16291.11</v>
      </c>
      <c r="H2037" t="s">
        <v>1454</v>
      </c>
    </row>
    <row r="2038" spans="4:8" x14ac:dyDescent="0.2">
      <c r="G2038" t="str">
        <f>"16291.12"</f>
        <v>16291.12</v>
      </c>
      <c r="H2038" t="s">
        <v>1455</v>
      </c>
    </row>
    <row r="2039" spans="4:8" x14ac:dyDescent="0.2">
      <c r="G2039" t="str">
        <f>"16291.13"</f>
        <v>16291.13</v>
      </c>
      <c r="H2039" t="s">
        <v>1456</v>
      </c>
    </row>
    <row r="2040" spans="4:8" x14ac:dyDescent="0.2">
      <c r="G2040" t="str">
        <f>"16291.19"</f>
        <v>16291.19</v>
      </c>
      <c r="H2040" t="s">
        <v>1457</v>
      </c>
    </row>
    <row r="2041" spans="4:8" x14ac:dyDescent="0.2">
      <c r="F2041" t="str">
        <f>"16291.9"</f>
        <v>16291.9</v>
      </c>
      <c r="H2041" t="s">
        <v>1458</v>
      </c>
    </row>
    <row r="2042" spans="4:8" x14ac:dyDescent="0.2">
      <c r="G2042" t="str">
        <f>"16291.90"</f>
        <v>16291.90</v>
      </c>
      <c r="H2042" t="s">
        <v>1458</v>
      </c>
    </row>
    <row r="2043" spans="4:8" x14ac:dyDescent="0.2">
      <c r="E2043" t="str">
        <f>"16292"</f>
        <v>16292</v>
      </c>
      <c r="H2043" t="s">
        <v>1459</v>
      </c>
    </row>
    <row r="2044" spans="4:8" x14ac:dyDescent="0.2">
      <c r="F2044" t="str">
        <f>"16292.1"</f>
        <v>16292.1</v>
      </c>
      <c r="H2044" t="s">
        <v>1459</v>
      </c>
    </row>
    <row r="2045" spans="4:8" x14ac:dyDescent="0.2">
      <c r="G2045" t="str">
        <f>"16292.11"</f>
        <v>16292.11</v>
      </c>
      <c r="H2045" t="s">
        <v>1460</v>
      </c>
    </row>
    <row r="2046" spans="4:8" x14ac:dyDescent="0.2">
      <c r="G2046" t="str">
        <f>"16292.12"</f>
        <v>16292.12</v>
      </c>
      <c r="H2046" t="s">
        <v>1461</v>
      </c>
    </row>
    <row r="2047" spans="4:8" x14ac:dyDescent="0.2">
      <c r="F2047" t="str">
        <f>"16292.9"</f>
        <v>16292.9</v>
      </c>
      <c r="H2047" t="s">
        <v>1462</v>
      </c>
    </row>
    <row r="2048" spans="4:8" x14ac:dyDescent="0.2">
      <c r="G2048" t="str">
        <f>"16292.90"</f>
        <v>16292.90</v>
      </c>
      <c r="H2048" t="s">
        <v>1462</v>
      </c>
    </row>
    <row r="2049" spans="2:8" x14ac:dyDescent="0.2">
      <c r="E2049" t="str">
        <f>"16299"</f>
        <v>16299</v>
      </c>
      <c r="H2049" t="s">
        <v>1463</v>
      </c>
    </row>
    <row r="2050" spans="2:8" x14ac:dyDescent="0.2">
      <c r="F2050" t="str">
        <f>"16299.1"</f>
        <v>16299.1</v>
      </c>
      <c r="H2050" t="s">
        <v>1463</v>
      </c>
    </row>
    <row r="2051" spans="2:8" x14ac:dyDescent="0.2">
      <c r="G2051" t="str">
        <f>"16299.11"</f>
        <v>16299.11</v>
      </c>
      <c r="H2051" t="s">
        <v>1464</v>
      </c>
    </row>
    <row r="2052" spans="2:8" x14ac:dyDescent="0.2">
      <c r="G2052" t="str">
        <f>"16299.12"</f>
        <v>16299.12</v>
      </c>
      <c r="H2052" t="s">
        <v>1465</v>
      </c>
    </row>
    <row r="2053" spans="2:8" x14ac:dyDescent="0.2">
      <c r="G2053" t="str">
        <f>"16299.13"</f>
        <v>16299.13</v>
      </c>
      <c r="H2053" t="s">
        <v>1466</v>
      </c>
    </row>
    <row r="2054" spans="2:8" x14ac:dyDescent="0.2">
      <c r="G2054" t="str">
        <f>"16299.19"</f>
        <v>16299.19</v>
      </c>
      <c r="H2054" t="s">
        <v>1467</v>
      </c>
    </row>
    <row r="2055" spans="2:8" x14ac:dyDescent="0.2">
      <c r="F2055" t="str">
        <f>"16299.9"</f>
        <v>16299.9</v>
      </c>
      <c r="H2055" t="s">
        <v>1468</v>
      </c>
    </row>
    <row r="2056" spans="2:8" x14ac:dyDescent="0.2">
      <c r="G2056" t="str">
        <f>"16299.90"</f>
        <v>16299.90</v>
      </c>
      <c r="H2056" t="s">
        <v>1468</v>
      </c>
    </row>
    <row r="2057" spans="2:8" x14ac:dyDescent="0.2">
      <c r="B2057" t="str">
        <f>"17"</f>
        <v>17</v>
      </c>
      <c r="H2057" t="s">
        <v>1469</v>
      </c>
    </row>
    <row r="2058" spans="2:8" x14ac:dyDescent="0.2">
      <c r="C2058" t="str">
        <f>"170"</f>
        <v>170</v>
      </c>
      <c r="H2058" t="s">
        <v>1469</v>
      </c>
    </row>
    <row r="2059" spans="2:8" x14ac:dyDescent="0.2">
      <c r="D2059" t="str">
        <f>"1701"</f>
        <v>1701</v>
      </c>
      <c r="H2059" t="s">
        <v>1470</v>
      </c>
    </row>
    <row r="2060" spans="2:8" x14ac:dyDescent="0.2">
      <c r="E2060" t="str">
        <f>"17011"</f>
        <v>17011</v>
      </c>
      <c r="H2060" t="s">
        <v>1471</v>
      </c>
    </row>
    <row r="2061" spans="2:8" x14ac:dyDescent="0.2">
      <c r="F2061" t="str">
        <f>"17011.1"</f>
        <v>17011.1</v>
      </c>
      <c r="H2061" t="s">
        <v>1471</v>
      </c>
    </row>
    <row r="2062" spans="2:8" x14ac:dyDescent="0.2">
      <c r="G2062" t="str">
        <f>"17011.11"</f>
        <v>17011.11</v>
      </c>
      <c r="H2062" t="s">
        <v>1472</v>
      </c>
    </row>
    <row r="2063" spans="2:8" x14ac:dyDescent="0.2">
      <c r="G2063" t="str">
        <f>"17011.12"</f>
        <v>17011.12</v>
      </c>
      <c r="H2063" t="s">
        <v>1473</v>
      </c>
    </row>
    <row r="2064" spans="2:8" x14ac:dyDescent="0.2">
      <c r="G2064" t="str">
        <f>"17011.13"</f>
        <v>17011.13</v>
      </c>
      <c r="H2064" t="s">
        <v>1474</v>
      </c>
    </row>
    <row r="2065" spans="5:8" x14ac:dyDescent="0.2">
      <c r="G2065" t="str">
        <f>"17011.14"</f>
        <v>17011.14</v>
      </c>
      <c r="H2065" t="s">
        <v>1475</v>
      </c>
    </row>
    <row r="2066" spans="5:8" x14ac:dyDescent="0.2">
      <c r="F2066" t="str">
        <f>"17011.9"</f>
        <v>17011.9</v>
      </c>
      <c r="H2066" t="s">
        <v>1476</v>
      </c>
    </row>
    <row r="2067" spans="5:8" x14ac:dyDescent="0.2">
      <c r="G2067" t="str">
        <f>"17011.90"</f>
        <v>17011.90</v>
      </c>
      <c r="H2067" t="s">
        <v>1476</v>
      </c>
    </row>
    <row r="2068" spans="5:8" x14ac:dyDescent="0.2">
      <c r="E2068" t="str">
        <f>"17012"</f>
        <v>17012</v>
      </c>
      <c r="H2068" t="s">
        <v>1477</v>
      </c>
    </row>
    <row r="2069" spans="5:8" x14ac:dyDescent="0.2">
      <c r="F2069" t="str">
        <f>"17012.1"</f>
        <v>17012.1</v>
      </c>
      <c r="H2069" t="s">
        <v>1478</v>
      </c>
    </row>
    <row r="2070" spans="5:8" x14ac:dyDescent="0.2">
      <c r="G2070" t="str">
        <f>"17012.11"</f>
        <v>17012.11</v>
      </c>
      <c r="H2070" t="s">
        <v>1479</v>
      </c>
    </row>
    <row r="2071" spans="5:8" x14ac:dyDescent="0.2">
      <c r="G2071" t="str">
        <f>"17012.12"</f>
        <v>17012.12</v>
      </c>
      <c r="H2071" t="s">
        <v>1480</v>
      </c>
    </row>
    <row r="2072" spans="5:8" x14ac:dyDescent="0.2">
      <c r="G2072" t="str">
        <f>"17012.13"</f>
        <v>17012.13</v>
      </c>
      <c r="H2072" t="s">
        <v>1481</v>
      </c>
    </row>
    <row r="2073" spans="5:8" x14ac:dyDescent="0.2">
      <c r="G2073" t="str">
        <f>"17012.14"</f>
        <v>17012.14</v>
      </c>
      <c r="H2073" t="s">
        <v>1482</v>
      </c>
    </row>
    <row r="2074" spans="5:8" x14ac:dyDescent="0.2">
      <c r="F2074" t="str">
        <f>"17012.2"</f>
        <v>17012.2</v>
      </c>
      <c r="H2074" t="s">
        <v>1483</v>
      </c>
    </row>
    <row r="2075" spans="5:8" x14ac:dyDescent="0.2">
      <c r="G2075" t="str">
        <f>"17012.20"</f>
        <v>17012.20</v>
      </c>
      <c r="H2075" t="s">
        <v>1484</v>
      </c>
    </row>
    <row r="2076" spans="5:8" x14ac:dyDescent="0.2">
      <c r="F2076" t="str">
        <f>"17012.3"</f>
        <v>17012.3</v>
      </c>
      <c r="H2076" t="s">
        <v>1485</v>
      </c>
    </row>
    <row r="2077" spans="5:8" x14ac:dyDescent="0.2">
      <c r="G2077" t="str">
        <f>"17012.31"</f>
        <v>17012.31</v>
      </c>
      <c r="H2077" t="s">
        <v>1486</v>
      </c>
    </row>
    <row r="2078" spans="5:8" x14ac:dyDescent="0.2">
      <c r="G2078" t="str">
        <f>"17012.32"</f>
        <v>17012.32</v>
      </c>
      <c r="H2078" t="s">
        <v>1487</v>
      </c>
    </row>
    <row r="2079" spans="5:8" x14ac:dyDescent="0.2">
      <c r="G2079" t="str">
        <f>"17012.33"</f>
        <v>17012.33</v>
      </c>
      <c r="H2079" t="s">
        <v>1488</v>
      </c>
    </row>
    <row r="2080" spans="5:8" x14ac:dyDescent="0.2">
      <c r="G2080" t="str">
        <f>"17012.34"</f>
        <v>17012.34</v>
      </c>
      <c r="H2080" t="s">
        <v>1489</v>
      </c>
    </row>
    <row r="2081" spans="6:8" x14ac:dyDescent="0.2">
      <c r="F2081" t="str">
        <f>"17012.4"</f>
        <v>17012.4</v>
      </c>
      <c r="H2081" t="s">
        <v>1490</v>
      </c>
    </row>
    <row r="2082" spans="6:8" x14ac:dyDescent="0.2">
      <c r="G2082" t="str">
        <f>"17012.41"</f>
        <v>17012.41</v>
      </c>
      <c r="H2082" t="s">
        <v>1491</v>
      </c>
    </row>
    <row r="2083" spans="6:8" x14ac:dyDescent="0.2">
      <c r="G2083" t="str">
        <f>"17012.42"</f>
        <v>17012.42</v>
      </c>
      <c r="H2083" t="s">
        <v>1492</v>
      </c>
    </row>
    <row r="2084" spans="6:8" x14ac:dyDescent="0.2">
      <c r="G2084" t="str">
        <f>"17012.43"</f>
        <v>17012.43</v>
      </c>
      <c r="H2084" t="s">
        <v>1493</v>
      </c>
    </row>
    <row r="2085" spans="6:8" x14ac:dyDescent="0.2">
      <c r="G2085" t="str">
        <f>"17012.44"</f>
        <v>17012.44</v>
      </c>
      <c r="H2085" t="s">
        <v>1494</v>
      </c>
    </row>
    <row r="2086" spans="6:8" x14ac:dyDescent="0.2">
      <c r="F2086" t="str">
        <f>"17012.5"</f>
        <v>17012.5</v>
      </c>
      <c r="H2086" t="s">
        <v>1495</v>
      </c>
    </row>
    <row r="2087" spans="6:8" x14ac:dyDescent="0.2">
      <c r="G2087" t="str">
        <f>"17012.50"</f>
        <v>17012.50</v>
      </c>
      <c r="H2087" t="s">
        <v>1495</v>
      </c>
    </row>
    <row r="2088" spans="6:8" x14ac:dyDescent="0.2">
      <c r="F2088" t="str">
        <f>"17012.6"</f>
        <v>17012.6</v>
      </c>
      <c r="H2088" t="s">
        <v>1496</v>
      </c>
    </row>
    <row r="2089" spans="6:8" x14ac:dyDescent="0.2">
      <c r="G2089" t="str">
        <f>"17012.60"</f>
        <v>17012.60</v>
      </c>
      <c r="H2089" t="s">
        <v>1496</v>
      </c>
    </row>
    <row r="2090" spans="6:8" x14ac:dyDescent="0.2">
      <c r="F2090" t="str">
        <f>"17012.7"</f>
        <v>17012.7</v>
      </c>
      <c r="H2090" t="s">
        <v>1497</v>
      </c>
    </row>
    <row r="2091" spans="6:8" x14ac:dyDescent="0.2">
      <c r="G2091" t="str">
        <f>"17012.71"</f>
        <v>17012.71</v>
      </c>
      <c r="H2091" t="s">
        <v>1498</v>
      </c>
    </row>
    <row r="2092" spans="6:8" x14ac:dyDescent="0.2">
      <c r="G2092" t="str">
        <f>"17012.72"</f>
        <v>17012.72</v>
      </c>
      <c r="H2092" t="s">
        <v>1499</v>
      </c>
    </row>
    <row r="2093" spans="6:8" x14ac:dyDescent="0.2">
      <c r="G2093" t="str">
        <f>"17012.73"</f>
        <v>17012.73</v>
      </c>
      <c r="H2093" t="s">
        <v>1500</v>
      </c>
    </row>
    <row r="2094" spans="6:8" x14ac:dyDescent="0.2">
      <c r="G2094" t="str">
        <f>"17012.74"</f>
        <v>17012.74</v>
      </c>
      <c r="H2094" t="s">
        <v>1501</v>
      </c>
    </row>
    <row r="2095" spans="6:8" x14ac:dyDescent="0.2">
      <c r="G2095" t="str">
        <f>"17012.75"</f>
        <v>17012.75</v>
      </c>
      <c r="H2095" t="s">
        <v>1502</v>
      </c>
    </row>
    <row r="2096" spans="6:8" x14ac:dyDescent="0.2">
      <c r="G2096" t="str">
        <f>"17012.76"</f>
        <v>17012.76</v>
      </c>
      <c r="H2096" t="s">
        <v>1503</v>
      </c>
    </row>
    <row r="2097" spans="4:8" x14ac:dyDescent="0.2">
      <c r="G2097" t="str">
        <f>"17012.77"</f>
        <v>17012.77</v>
      </c>
      <c r="H2097" t="s">
        <v>1504</v>
      </c>
    </row>
    <row r="2098" spans="4:8" x14ac:dyDescent="0.2">
      <c r="G2098" t="str">
        <f>"17012.78"</f>
        <v>17012.78</v>
      </c>
      <c r="H2098" t="s">
        <v>1505</v>
      </c>
    </row>
    <row r="2099" spans="4:8" x14ac:dyDescent="0.2">
      <c r="G2099" t="str">
        <f>"17012.79"</f>
        <v>17012.79</v>
      </c>
      <c r="H2099" t="s">
        <v>1506</v>
      </c>
    </row>
    <row r="2100" spans="4:8" x14ac:dyDescent="0.2">
      <c r="F2100" t="str">
        <f>"17012.9"</f>
        <v>17012.9</v>
      </c>
      <c r="H2100" t="s">
        <v>1507</v>
      </c>
    </row>
    <row r="2101" spans="4:8" x14ac:dyDescent="0.2">
      <c r="G2101" t="str">
        <f>"17012.90"</f>
        <v>17012.90</v>
      </c>
      <c r="H2101" t="s">
        <v>1507</v>
      </c>
    </row>
    <row r="2102" spans="4:8" x14ac:dyDescent="0.2">
      <c r="D2102" t="str">
        <f>"1702"</f>
        <v>1702</v>
      </c>
      <c r="H2102" t="s">
        <v>1508</v>
      </c>
    </row>
    <row r="2103" spans="4:8" x14ac:dyDescent="0.2">
      <c r="E2103" t="str">
        <f>"17020"</f>
        <v>17020</v>
      </c>
      <c r="H2103" t="s">
        <v>1508</v>
      </c>
    </row>
    <row r="2104" spans="4:8" x14ac:dyDescent="0.2">
      <c r="F2104" t="str">
        <f>"17020.1"</f>
        <v>17020.1</v>
      </c>
      <c r="H2104" t="s">
        <v>1508</v>
      </c>
    </row>
    <row r="2105" spans="4:8" x14ac:dyDescent="0.2">
      <c r="G2105" t="str">
        <f>"17020.11"</f>
        <v>17020.11</v>
      </c>
      <c r="H2105" t="s">
        <v>1509</v>
      </c>
    </row>
    <row r="2106" spans="4:8" x14ac:dyDescent="0.2">
      <c r="G2106" t="str">
        <f>"17020.12"</f>
        <v>17020.12</v>
      </c>
      <c r="H2106" t="s">
        <v>1510</v>
      </c>
    </row>
    <row r="2107" spans="4:8" x14ac:dyDescent="0.2">
      <c r="G2107" t="str">
        <f>"17020.13"</f>
        <v>17020.13</v>
      </c>
      <c r="H2107" t="s">
        <v>1511</v>
      </c>
    </row>
    <row r="2108" spans="4:8" x14ac:dyDescent="0.2">
      <c r="G2108" t="str">
        <f>"17020.14"</f>
        <v>17020.14</v>
      </c>
      <c r="H2108" t="s">
        <v>1512</v>
      </c>
    </row>
    <row r="2109" spans="4:8" x14ac:dyDescent="0.2">
      <c r="G2109" t="str">
        <f>"17020.15"</f>
        <v>17020.15</v>
      </c>
      <c r="H2109" t="s">
        <v>1513</v>
      </c>
    </row>
    <row r="2110" spans="4:8" x14ac:dyDescent="0.2">
      <c r="F2110" t="str">
        <f>"17020.9"</f>
        <v>17020.9</v>
      </c>
      <c r="H2110" t="s">
        <v>1514</v>
      </c>
    </row>
    <row r="2111" spans="4:8" x14ac:dyDescent="0.2">
      <c r="G2111" t="str">
        <f>"17020.90"</f>
        <v>17020.90</v>
      </c>
      <c r="H2111" t="s">
        <v>1514</v>
      </c>
    </row>
    <row r="2112" spans="4:8" x14ac:dyDescent="0.2">
      <c r="D2112" t="str">
        <f>"1709"</f>
        <v>1709</v>
      </c>
      <c r="H2112" t="s">
        <v>1515</v>
      </c>
    </row>
    <row r="2113" spans="5:8" x14ac:dyDescent="0.2">
      <c r="E2113" t="str">
        <f>"17091"</f>
        <v>17091</v>
      </c>
      <c r="H2113" t="s">
        <v>1516</v>
      </c>
    </row>
    <row r="2114" spans="5:8" x14ac:dyDescent="0.2">
      <c r="F2114" t="str">
        <f>"17091.1"</f>
        <v>17091.1</v>
      </c>
      <c r="H2114" t="s">
        <v>1516</v>
      </c>
    </row>
    <row r="2115" spans="5:8" x14ac:dyDescent="0.2">
      <c r="G2115" t="str">
        <f>"17091.11"</f>
        <v>17091.11</v>
      </c>
      <c r="H2115" t="s">
        <v>1517</v>
      </c>
    </row>
    <row r="2116" spans="5:8" x14ac:dyDescent="0.2">
      <c r="G2116" t="str">
        <f>"17091.12"</f>
        <v>17091.12</v>
      </c>
      <c r="H2116" t="s">
        <v>1518</v>
      </c>
    </row>
    <row r="2117" spans="5:8" x14ac:dyDescent="0.2">
      <c r="G2117" t="str">
        <f>"17091.13"</f>
        <v>17091.13</v>
      </c>
      <c r="H2117" t="s">
        <v>1519</v>
      </c>
    </row>
    <row r="2118" spans="5:8" x14ac:dyDescent="0.2">
      <c r="F2118" t="str">
        <f>"17091.9"</f>
        <v>17091.9</v>
      </c>
      <c r="H2118" t="s">
        <v>1520</v>
      </c>
    </row>
    <row r="2119" spans="5:8" x14ac:dyDescent="0.2">
      <c r="G2119" t="str">
        <f>"17091.90"</f>
        <v>17091.90</v>
      </c>
      <c r="H2119" t="s">
        <v>1520</v>
      </c>
    </row>
    <row r="2120" spans="5:8" x14ac:dyDescent="0.2">
      <c r="E2120" t="str">
        <f>"17092"</f>
        <v>17092</v>
      </c>
      <c r="H2120" t="s">
        <v>1521</v>
      </c>
    </row>
    <row r="2121" spans="5:8" x14ac:dyDescent="0.2">
      <c r="F2121" t="str">
        <f>"17092.1"</f>
        <v>17092.1</v>
      </c>
      <c r="H2121" t="s">
        <v>1521</v>
      </c>
    </row>
    <row r="2122" spans="5:8" x14ac:dyDescent="0.2">
      <c r="G2122" t="str">
        <f>"17092.11"</f>
        <v>17092.11</v>
      </c>
      <c r="H2122" t="s">
        <v>1522</v>
      </c>
    </row>
    <row r="2123" spans="5:8" x14ac:dyDescent="0.2">
      <c r="G2123" t="str">
        <f>"17092.12"</f>
        <v>17092.12</v>
      </c>
      <c r="H2123" t="s">
        <v>1523</v>
      </c>
    </row>
    <row r="2124" spans="5:8" x14ac:dyDescent="0.2">
      <c r="G2124" t="str">
        <f>"17092.13"</f>
        <v>17092.13</v>
      </c>
      <c r="H2124" t="s">
        <v>1524</v>
      </c>
    </row>
    <row r="2125" spans="5:8" x14ac:dyDescent="0.2">
      <c r="F2125" t="str">
        <f>"17092.9"</f>
        <v>17092.9</v>
      </c>
      <c r="H2125" t="s">
        <v>1525</v>
      </c>
    </row>
    <row r="2126" spans="5:8" x14ac:dyDescent="0.2">
      <c r="G2126" t="str">
        <f>"17092.90"</f>
        <v>17092.90</v>
      </c>
      <c r="H2126" t="s">
        <v>1525</v>
      </c>
    </row>
    <row r="2127" spans="5:8" x14ac:dyDescent="0.2">
      <c r="E2127" t="str">
        <f>"17099"</f>
        <v>17099</v>
      </c>
      <c r="H2127" t="s">
        <v>1526</v>
      </c>
    </row>
    <row r="2128" spans="5:8" x14ac:dyDescent="0.2">
      <c r="F2128" t="str">
        <f>"17099.1"</f>
        <v>17099.1</v>
      </c>
      <c r="H2128" t="s">
        <v>1527</v>
      </c>
    </row>
    <row r="2129" spans="2:8" x14ac:dyDescent="0.2">
      <c r="G2129" t="str">
        <f>"17099.11"</f>
        <v>17099.11</v>
      </c>
      <c r="H2129" t="s">
        <v>1528</v>
      </c>
    </row>
    <row r="2130" spans="2:8" x14ac:dyDescent="0.2">
      <c r="G2130" t="str">
        <f>"17099.12"</f>
        <v>17099.12</v>
      </c>
      <c r="H2130" t="s">
        <v>1529</v>
      </c>
    </row>
    <row r="2131" spans="2:8" x14ac:dyDescent="0.2">
      <c r="F2131" t="str">
        <f>"17099.2"</f>
        <v>17099.2</v>
      </c>
      <c r="H2131" t="s">
        <v>1526</v>
      </c>
    </row>
    <row r="2132" spans="2:8" x14ac:dyDescent="0.2">
      <c r="G2132" t="str">
        <f>"17099.21"</f>
        <v>17099.21</v>
      </c>
      <c r="H2132" t="s">
        <v>1530</v>
      </c>
    </row>
    <row r="2133" spans="2:8" x14ac:dyDescent="0.2">
      <c r="G2133" t="str">
        <f>"17099.22"</f>
        <v>17099.22</v>
      </c>
      <c r="H2133" t="s">
        <v>1531</v>
      </c>
    </row>
    <row r="2134" spans="2:8" x14ac:dyDescent="0.2">
      <c r="G2134" t="str">
        <f>"17099.29"</f>
        <v>17099.29</v>
      </c>
      <c r="H2134" t="s">
        <v>1532</v>
      </c>
    </row>
    <row r="2135" spans="2:8" x14ac:dyDescent="0.2">
      <c r="F2135" t="str">
        <f>"17099.9"</f>
        <v>17099.9</v>
      </c>
      <c r="H2135" t="s">
        <v>1533</v>
      </c>
    </row>
    <row r="2136" spans="2:8" x14ac:dyDescent="0.2">
      <c r="G2136" t="str">
        <f>"17099.90"</f>
        <v>17099.90</v>
      </c>
      <c r="H2136" t="s">
        <v>1533</v>
      </c>
    </row>
    <row r="2137" spans="2:8" x14ac:dyDescent="0.2">
      <c r="B2137" t="str">
        <f>"18"</f>
        <v>18</v>
      </c>
      <c r="H2137" t="s">
        <v>1534</v>
      </c>
    </row>
    <row r="2138" spans="2:8" x14ac:dyDescent="0.2">
      <c r="C2138" t="str">
        <f>"181"</f>
        <v>181</v>
      </c>
      <c r="H2138" t="s">
        <v>1535</v>
      </c>
    </row>
    <row r="2139" spans="2:8" x14ac:dyDescent="0.2">
      <c r="D2139" t="str">
        <f>"1811"</f>
        <v>1811</v>
      </c>
      <c r="H2139" t="s">
        <v>1536</v>
      </c>
    </row>
    <row r="2140" spans="2:8" x14ac:dyDescent="0.2">
      <c r="E2140" t="str">
        <f>"18111"</f>
        <v>18111</v>
      </c>
      <c r="H2140" t="s">
        <v>1537</v>
      </c>
    </row>
    <row r="2141" spans="2:8" x14ac:dyDescent="0.2">
      <c r="F2141" t="str">
        <f>"18111.0"</f>
        <v>18111.0</v>
      </c>
      <c r="H2141" t="s">
        <v>1537</v>
      </c>
    </row>
    <row r="2142" spans="2:8" x14ac:dyDescent="0.2">
      <c r="G2142" t="str">
        <f>"18111.01"</f>
        <v>18111.01</v>
      </c>
      <c r="H2142" t="s">
        <v>1538</v>
      </c>
    </row>
    <row r="2143" spans="2:8" x14ac:dyDescent="0.2">
      <c r="G2143" t="str">
        <f>"18111.02"</f>
        <v>18111.02</v>
      </c>
      <c r="H2143" t="s">
        <v>1539</v>
      </c>
    </row>
    <row r="2144" spans="2:8" x14ac:dyDescent="0.2">
      <c r="E2144" t="str">
        <f>"18112"</f>
        <v>18112</v>
      </c>
      <c r="H2144" t="s">
        <v>1540</v>
      </c>
    </row>
    <row r="2145" spans="4:8" x14ac:dyDescent="0.2">
      <c r="F2145" t="str">
        <f>"18112.0"</f>
        <v>18112.0</v>
      </c>
      <c r="H2145" t="s">
        <v>1541</v>
      </c>
    </row>
    <row r="2146" spans="4:8" x14ac:dyDescent="0.2">
      <c r="G2146" t="str">
        <f>"18112.00"</f>
        <v>18112.00</v>
      </c>
      <c r="H2146" t="s">
        <v>1541</v>
      </c>
    </row>
    <row r="2147" spans="4:8" x14ac:dyDescent="0.2">
      <c r="E2147" t="str">
        <f>"18119"</f>
        <v>18119</v>
      </c>
      <c r="H2147" t="s">
        <v>1542</v>
      </c>
    </row>
    <row r="2148" spans="4:8" x14ac:dyDescent="0.2">
      <c r="F2148" t="str">
        <f>"18119.0"</f>
        <v>18119.0</v>
      </c>
      <c r="H2148" t="s">
        <v>1542</v>
      </c>
    </row>
    <row r="2149" spans="4:8" x14ac:dyDescent="0.2">
      <c r="G2149" t="str">
        <f>"18119.01"</f>
        <v>18119.01</v>
      </c>
      <c r="H2149" t="s">
        <v>1543</v>
      </c>
    </row>
    <row r="2150" spans="4:8" x14ac:dyDescent="0.2">
      <c r="G2150" t="str">
        <f>"18119.02"</f>
        <v>18119.02</v>
      </c>
      <c r="H2150" t="s">
        <v>1544</v>
      </c>
    </row>
    <row r="2151" spans="4:8" x14ac:dyDescent="0.2">
      <c r="G2151" t="str">
        <f>"18119.03"</f>
        <v>18119.03</v>
      </c>
      <c r="H2151" t="s">
        <v>1545</v>
      </c>
    </row>
    <row r="2152" spans="4:8" x14ac:dyDescent="0.2">
      <c r="G2152" t="str">
        <f>"18119.04"</f>
        <v>18119.04</v>
      </c>
      <c r="H2152" t="s">
        <v>1546</v>
      </c>
    </row>
    <row r="2153" spans="4:8" x14ac:dyDescent="0.2">
      <c r="G2153" t="str">
        <f>"18119.09"</f>
        <v>18119.09</v>
      </c>
      <c r="H2153" t="s">
        <v>1547</v>
      </c>
    </row>
    <row r="2154" spans="4:8" x14ac:dyDescent="0.2">
      <c r="D2154" t="str">
        <f>"1812"</f>
        <v>1812</v>
      </c>
      <c r="H2154" t="s">
        <v>1548</v>
      </c>
    </row>
    <row r="2155" spans="4:8" x14ac:dyDescent="0.2">
      <c r="E2155" t="str">
        <f>"18121"</f>
        <v>18121</v>
      </c>
      <c r="H2155" t="s">
        <v>1549</v>
      </c>
    </row>
    <row r="2156" spans="4:8" x14ac:dyDescent="0.2">
      <c r="F2156" t="str">
        <f>"18121.0"</f>
        <v>18121.0</v>
      </c>
      <c r="H2156" t="s">
        <v>1549</v>
      </c>
    </row>
    <row r="2157" spans="4:8" x14ac:dyDescent="0.2">
      <c r="G2157" t="str">
        <f>"18121.01"</f>
        <v>18121.01</v>
      </c>
      <c r="H2157" t="s">
        <v>1549</v>
      </c>
    </row>
    <row r="2158" spans="4:8" x14ac:dyDescent="0.2">
      <c r="G2158" t="str">
        <f>"18121.02"</f>
        <v>18121.02</v>
      </c>
      <c r="H2158" t="s">
        <v>1550</v>
      </c>
    </row>
    <row r="2159" spans="4:8" x14ac:dyDescent="0.2">
      <c r="G2159" t="str">
        <f>"18121.09"</f>
        <v>18121.09</v>
      </c>
      <c r="H2159" t="s">
        <v>1551</v>
      </c>
    </row>
    <row r="2160" spans="4:8" x14ac:dyDescent="0.2">
      <c r="E2160" t="str">
        <f>"18122"</f>
        <v>18122</v>
      </c>
      <c r="H2160" t="s">
        <v>1552</v>
      </c>
    </row>
    <row r="2161" spans="2:8" x14ac:dyDescent="0.2">
      <c r="F2161" t="str">
        <f>"18122.0"</f>
        <v>18122.0</v>
      </c>
      <c r="H2161" t="s">
        <v>1553</v>
      </c>
    </row>
    <row r="2162" spans="2:8" x14ac:dyDescent="0.2">
      <c r="G2162" t="str">
        <f>"18122.00"</f>
        <v>18122.00</v>
      </c>
      <c r="H2162" t="s">
        <v>1553</v>
      </c>
    </row>
    <row r="2163" spans="2:8" x14ac:dyDescent="0.2">
      <c r="C2163" t="str">
        <f>"182"</f>
        <v>182</v>
      </c>
      <c r="H2163" t="s">
        <v>1554</v>
      </c>
    </row>
    <row r="2164" spans="2:8" x14ac:dyDescent="0.2">
      <c r="D2164" t="str">
        <f>"1820"</f>
        <v>1820</v>
      </c>
      <c r="H2164" t="s">
        <v>1554</v>
      </c>
    </row>
    <row r="2165" spans="2:8" x14ac:dyDescent="0.2">
      <c r="E2165" t="str">
        <f>"18200"</f>
        <v>18200</v>
      </c>
      <c r="H2165" t="s">
        <v>1554</v>
      </c>
    </row>
    <row r="2166" spans="2:8" x14ac:dyDescent="0.2">
      <c r="F2166" t="str">
        <f>"18200.0"</f>
        <v>18200.0</v>
      </c>
      <c r="H2166" t="s">
        <v>1554</v>
      </c>
    </row>
    <row r="2167" spans="2:8" x14ac:dyDescent="0.2">
      <c r="G2167" t="str">
        <f>"18200.01"</f>
        <v>18200.01</v>
      </c>
      <c r="H2167" t="s">
        <v>1555</v>
      </c>
    </row>
    <row r="2168" spans="2:8" x14ac:dyDescent="0.2">
      <c r="G2168" t="str">
        <f>"18200.02"</f>
        <v>18200.02</v>
      </c>
      <c r="H2168" t="s">
        <v>1556</v>
      </c>
    </row>
    <row r="2169" spans="2:8" x14ac:dyDescent="0.2">
      <c r="G2169" t="str">
        <f>"18200.03"</f>
        <v>18200.03</v>
      </c>
      <c r="H2169" t="s">
        <v>1557</v>
      </c>
    </row>
    <row r="2170" spans="2:8" x14ac:dyDescent="0.2">
      <c r="B2170" t="str">
        <f>"19"</f>
        <v>19</v>
      </c>
      <c r="H2170" t="s">
        <v>1558</v>
      </c>
    </row>
    <row r="2171" spans="2:8" x14ac:dyDescent="0.2">
      <c r="C2171" t="str">
        <f>"191"</f>
        <v>191</v>
      </c>
      <c r="H2171" t="s">
        <v>1559</v>
      </c>
    </row>
    <row r="2172" spans="2:8" x14ac:dyDescent="0.2">
      <c r="D2172" t="str">
        <f>"1910"</f>
        <v>1910</v>
      </c>
      <c r="H2172" t="s">
        <v>1559</v>
      </c>
    </row>
    <row r="2173" spans="2:8" x14ac:dyDescent="0.2">
      <c r="E2173" t="str">
        <f>"19100"</f>
        <v>19100</v>
      </c>
      <c r="H2173" t="s">
        <v>1559</v>
      </c>
    </row>
    <row r="2174" spans="2:8" x14ac:dyDescent="0.2">
      <c r="F2174" t="str">
        <f>"19100.1"</f>
        <v>19100.1</v>
      </c>
      <c r="H2174" t="s">
        <v>1559</v>
      </c>
    </row>
    <row r="2175" spans="2:8" x14ac:dyDescent="0.2">
      <c r="G2175" t="str">
        <f>"19100.11"</f>
        <v>19100.11</v>
      </c>
      <c r="H2175" t="s">
        <v>1560</v>
      </c>
    </row>
    <row r="2176" spans="2:8" x14ac:dyDescent="0.2">
      <c r="G2176" t="str">
        <f>"19100.12"</f>
        <v>19100.12</v>
      </c>
      <c r="H2176" t="s">
        <v>1561</v>
      </c>
    </row>
    <row r="2177" spans="3:8" x14ac:dyDescent="0.2">
      <c r="G2177" t="str">
        <f>"19100.13"</f>
        <v>19100.13</v>
      </c>
      <c r="H2177" t="s">
        <v>1562</v>
      </c>
    </row>
    <row r="2178" spans="3:8" x14ac:dyDescent="0.2">
      <c r="F2178" t="str">
        <f>"19100.9"</f>
        <v>19100.9</v>
      </c>
      <c r="H2178" t="s">
        <v>1563</v>
      </c>
    </row>
    <row r="2179" spans="3:8" x14ac:dyDescent="0.2">
      <c r="G2179" t="str">
        <f>"19100.90"</f>
        <v>19100.90</v>
      </c>
      <c r="H2179" t="s">
        <v>1563</v>
      </c>
    </row>
    <row r="2180" spans="3:8" x14ac:dyDescent="0.2">
      <c r="C2180" t="str">
        <f>"192"</f>
        <v>192</v>
      </c>
      <c r="H2180" t="s">
        <v>1564</v>
      </c>
    </row>
    <row r="2181" spans="3:8" x14ac:dyDescent="0.2">
      <c r="D2181" t="str">
        <f>"19201"</f>
        <v>19201</v>
      </c>
      <c r="H2181" t="s">
        <v>1565</v>
      </c>
    </row>
    <row r="2182" spans="3:8" x14ac:dyDescent="0.2">
      <c r="E2182" t="str">
        <f>"19201.1"</f>
        <v>19201.1</v>
      </c>
      <c r="H2182" t="s">
        <v>1566</v>
      </c>
    </row>
    <row r="2183" spans="3:8" x14ac:dyDescent="0.2">
      <c r="F2183" t="str">
        <f>"19201.11"</f>
        <v>19201.11</v>
      </c>
      <c r="H2183" t="s">
        <v>1567</v>
      </c>
    </row>
    <row r="2184" spans="3:8" x14ac:dyDescent="0.2">
      <c r="F2184" t="str">
        <f>"19201.12"</f>
        <v>19201.12</v>
      </c>
      <c r="H2184" t="s">
        <v>1568</v>
      </c>
    </row>
    <row r="2185" spans="3:8" x14ac:dyDescent="0.2">
      <c r="F2185" t="str">
        <f>"19201.19"</f>
        <v>19201.19</v>
      </c>
      <c r="H2185" t="s">
        <v>1569</v>
      </c>
    </row>
    <row r="2186" spans="3:8" x14ac:dyDescent="0.2">
      <c r="E2186" t="str">
        <f>"19201.2"</f>
        <v>19201.2</v>
      </c>
      <c r="H2186" t="s">
        <v>1570</v>
      </c>
    </row>
    <row r="2187" spans="3:8" x14ac:dyDescent="0.2">
      <c r="F2187" t="str">
        <f>"19201.21"</f>
        <v>19201.21</v>
      </c>
      <c r="H2187" t="s">
        <v>1571</v>
      </c>
    </row>
    <row r="2188" spans="3:8" x14ac:dyDescent="0.2">
      <c r="F2188" t="str">
        <f>"19201.22"</f>
        <v>19201.22</v>
      </c>
      <c r="H2188" t="s">
        <v>1572</v>
      </c>
    </row>
    <row r="2189" spans="3:8" x14ac:dyDescent="0.2">
      <c r="F2189" t="str">
        <f>"19201.23"</f>
        <v>19201.23</v>
      </c>
      <c r="H2189" t="s">
        <v>1573</v>
      </c>
    </row>
    <row r="2190" spans="3:8" x14ac:dyDescent="0.2">
      <c r="F2190" t="str">
        <f>"19201.29"</f>
        <v>19201.29</v>
      </c>
      <c r="H2190" t="s">
        <v>1574</v>
      </c>
    </row>
    <row r="2191" spans="3:8" x14ac:dyDescent="0.2">
      <c r="E2191" t="str">
        <f>"19201.3"</f>
        <v>19201.3</v>
      </c>
      <c r="H2191" t="s">
        <v>1575</v>
      </c>
    </row>
    <row r="2192" spans="3:8" x14ac:dyDescent="0.2">
      <c r="F2192" t="str">
        <f>"19201.31"</f>
        <v>19201.31</v>
      </c>
      <c r="H2192" t="s">
        <v>1576</v>
      </c>
    </row>
    <row r="2193" spans="4:8" x14ac:dyDescent="0.2">
      <c r="F2193" t="str">
        <f>"19201.39"</f>
        <v>19201.39</v>
      </c>
      <c r="H2193" t="s">
        <v>1577</v>
      </c>
    </row>
    <row r="2194" spans="4:8" x14ac:dyDescent="0.2">
      <c r="E2194" t="str">
        <f>"19201.4"</f>
        <v>19201.4</v>
      </c>
      <c r="H2194" t="s">
        <v>1578</v>
      </c>
    </row>
    <row r="2195" spans="4:8" x14ac:dyDescent="0.2">
      <c r="F2195" t="str">
        <f>"19201.41"</f>
        <v>19201.41</v>
      </c>
      <c r="H2195" t="s">
        <v>1579</v>
      </c>
    </row>
    <row r="2196" spans="4:8" x14ac:dyDescent="0.2">
      <c r="F2196" t="str">
        <f>"19201.49"</f>
        <v>19201.49</v>
      </c>
      <c r="H2196" t="s">
        <v>1580</v>
      </c>
    </row>
    <row r="2197" spans="4:8" x14ac:dyDescent="0.2">
      <c r="E2197" t="str">
        <f>"19201.9"</f>
        <v>19201.9</v>
      </c>
      <c r="H2197" t="s">
        <v>1581</v>
      </c>
    </row>
    <row r="2198" spans="4:8" x14ac:dyDescent="0.2">
      <c r="F2198" t="str">
        <f>"19201.90"</f>
        <v>19201.90</v>
      </c>
      <c r="H2198" t="s">
        <v>1581</v>
      </c>
    </row>
    <row r="2199" spans="4:8" x14ac:dyDescent="0.2">
      <c r="D2199" t="str">
        <f>"19202"</f>
        <v>19202</v>
      </c>
      <c r="H2199" t="s">
        <v>1582</v>
      </c>
    </row>
    <row r="2200" spans="4:8" x14ac:dyDescent="0.2">
      <c r="E2200" t="str">
        <f>"19202.1"</f>
        <v>19202.1</v>
      </c>
      <c r="H2200" t="s">
        <v>1582</v>
      </c>
    </row>
    <row r="2201" spans="4:8" x14ac:dyDescent="0.2">
      <c r="F2201" t="str">
        <f>"19202.11"</f>
        <v>19202.11</v>
      </c>
      <c r="H2201" t="s">
        <v>1583</v>
      </c>
    </row>
    <row r="2202" spans="4:8" x14ac:dyDescent="0.2">
      <c r="F2202" t="str">
        <f>"19202.12"</f>
        <v>19202.12</v>
      </c>
      <c r="H2202" t="s">
        <v>1584</v>
      </c>
    </row>
    <row r="2203" spans="4:8" x14ac:dyDescent="0.2">
      <c r="F2203" t="str">
        <f>"19202.19"</f>
        <v>19202.19</v>
      </c>
      <c r="H2203" t="s">
        <v>1585</v>
      </c>
    </row>
    <row r="2204" spans="4:8" x14ac:dyDescent="0.2">
      <c r="E2204" t="str">
        <f>"19202.9"</f>
        <v>19202.9</v>
      </c>
      <c r="H2204" t="s">
        <v>1586</v>
      </c>
    </row>
    <row r="2205" spans="4:8" x14ac:dyDescent="0.2">
      <c r="F2205" t="str">
        <f>"19202.90"</f>
        <v>19202.90</v>
      </c>
      <c r="H2205" t="s">
        <v>1586</v>
      </c>
    </row>
    <row r="2206" spans="4:8" x14ac:dyDescent="0.2">
      <c r="D2206" t="str">
        <f>"19209"</f>
        <v>19209</v>
      </c>
      <c r="H2206" t="s">
        <v>1587</v>
      </c>
    </row>
    <row r="2207" spans="4:8" x14ac:dyDescent="0.2">
      <c r="E2207" t="str">
        <f>"19209.1"</f>
        <v>19209.1</v>
      </c>
      <c r="H2207" t="s">
        <v>1588</v>
      </c>
    </row>
    <row r="2208" spans="4:8" x14ac:dyDescent="0.2">
      <c r="F2208" t="str">
        <f>"19209.11"</f>
        <v>19209.11</v>
      </c>
      <c r="H2208" t="s">
        <v>1589</v>
      </c>
    </row>
    <row r="2209" spans="2:8" x14ac:dyDescent="0.2">
      <c r="F2209" t="str">
        <f>"19209.12"</f>
        <v>19209.12</v>
      </c>
      <c r="H2209" t="s">
        <v>1590</v>
      </c>
    </row>
    <row r="2210" spans="2:8" x14ac:dyDescent="0.2">
      <c r="F2210" t="str">
        <f>"19209.13"</f>
        <v>19209.13</v>
      </c>
      <c r="H2210" t="s">
        <v>1591</v>
      </c>
    </row>
    <row r="2211" spans="2:8" x14ac:dyDescent="0.2">
      <c r="E2211" t="str">
        <f>"19209.2"</f>
        <v>19209.2</v>
      </c>
      <c r="H2211" t="s">
        <v>1592</v>
      </c>
    </row>
    <row r="2212" spans="2:8" x14ac:dyDescent="0.2">
      <c r="F2212" t="str">
        <f>"19209.21"</f>
        <v>19209.21</v>
      </c>
      <c r="H2212" t="s">
        <v>1593</v>
      </c>
    </row>
    <row r="2213" spans="2:8" x14ac:dyDescent="0.2">
      <c r="F2213" t="str">
        <f>"19209.22"</f>
        <v>19209.22</v>
      </c>
      <c r="H2213" t="s">
        <v>1594</v>
      </c>
    </row>
    <row r="2214" spans="2:8" x14ac:dyDescent="0.2">
      <c r="F2214" t="str">
        <f>"19209.23"</f>
        <v>19209.23</v>
      </c>
      <c r="H2214" t="s">
        <v>1595</v>
      </c>
    </row>
    <row r="2215" spans="2:8" x14ac:dyDescent="0.2">
      <c r="E2215" t="str">
        <f>"19209.9"</f>
        <v>19209.9</v>
      </c>
      <c r="H2215" t="s">
        <v>1596</v>
      </c>
    </row>
    <row r="2216" spans="2:8" x14ac:dyDescent="0.2">
      <c r="F2216" t="str">
        <f>"19209.90"</f>
        <v>19209.90</v>
      </c>
      <c r="H2216" t="s">
        <v>1596</v>
      </c>
    </row>
    <row r="2217" spans="2:8" x14ac:dyDescent="0.2">
      <c r="B2217" t="str">
        <f>"20"</f>
        <v>20</v>
      </c>
      <c r="H2217" t="s">
        <v>1597</v>
      </c>
    </row>
    <row r="2218" spans="2:8" x14ac:dyDescent="0.2">
      <c r="C2218" t="str">
        <f>"201"</f>
        <v>201</v>
      </c>
      <c r="H2218" t="s">
        <v>1598</v>
      </c>
    </row>
    <row r="2219" spans="2:8" x14ac:dyDescent="0.2">
      <c r="D2219" t="str">
        <f>"2011"</f>
        <v>2011</v>
      </c>
      <c r="H2219" t="s">
        <v>1599</v>
      </c>
    </row>
    <row r="2220" spans="2:8" x14ac:dyDescent="0.2">
      <c r="E2220" t="str">
        <f>"20111"</f>
        <v>20111</v>
      </c>
      <c r="H2220" t="s">
        <v>1600</v>
      </c>
    </row>
    <row r="2221" spans="2:8" x14ac:dyDescent="0.2">
      <c r="F2221" t="str">
        <f>"20111.1"</f>
        <v>20111.1</v>
      </c>
      <c r="H2221" t="s">
        <v>1600</v>
      </c>
    </row>
    <row r="2222" spans="2:8" x14ac:dyDescent="0.2">
      <c r="G2222" t="str">
        <f>"20111.11"</f>
        <v>20111.11</v>
      </c>
      <c r="H2222" t="s">
        <v>1601</v>
      </c>
    </row>
    <row r="2223" spans="2:8" x14ac:dyDescent="0.2">
      <c r="G2223" t="str">
        <f>"20111.12"</f>
        <v>20111.12</v>
      </c>
      <c r="H2223" t="s">
        <v>1602</v>
      </c>
    </row>
    <row r="2224" spans="2:8" x14ac:dyDescent="0.2">
      <c r="G2224" t="str">
        <f>"20111.13"</f>
        <v>20111.13</v>
      </c>
      <c r="H2224" t="s">
        <v>1603</v>
      </c>
    </row>
    <row r="2225" spans="5:8" x14ac:dyDescent="0.2">
      <c r="F2225" t="str">
        <f>"20111.9"</f>
        <v>20111.9</v>
      </c>
      <c r="H2225" t="s">
        <v>1604</v>
      </c>
    </row>
    <row r="2226" spans="5:8" x14ac:dyDescent="0.2">
      <c r="G2226" t="str">
        <f>"20111.90"</f>
        <v>20111.90</v>
      </c>
      <c r="H2226" t="s">
        <v>1604</v>
      </c>
    </row>
    <row r="2227" spans="5:8" x14ac:dyDescent="0.2">
      <c r="E2227" t="str">
        <f>"20112"</f>
        <v>20112</v>
      </c>
      <c r="H2227" t="s">
        <v>1605</v>
      </c>
    </row>
    <row r="2228" spans="5:8" x14ac:dyDescent="0.2">
      <c r="F2228" t="str">
        <f>"20112.1"</f>
        <v>20112.1</v>
      </c>
      <c r="H2228" t="s">
        <v>1606</v>
      </c>
    </row>
    <row r="2229" spans="5:8" x14ac:dyDescent="0.2">
      <c r="G2229" t="str">
        <f>"20112.11"</f>
        <v>20112.11</v>
      </c>
      <c r="H2229" t="s">
        <v>1607</v>
      </c>
    </row>
    <row r="2230" spans="5:8" x14ac:dyDescent="0.2">
      <c r="G2230" t="str">
        <f>"20112.12"</f>
        <v>20112.12</v>
      </c>
      <c r="H2230" t="s">
        <v>1608</v>
      </c>
    </row>
    <row r="2231" spans="5:8" x14ac:dyDescent="0.2">
      <c r="G2231" t="str">
        <f>"20112.19"</f>
        <v>20112.19</v>
      </c>
      <c r="H2231" t="s">
        <v>1609</v>
      </c>
    </row>
    <row r="2232" spans="5:8" x14ac:dyDescent="0.2">
      <c r="F2232" t="str">
        <f>"20112.2"</f>
        <v>20112.2</v>
      </c>
      <c r="H2232" t="s">
        <v>1610</v>
      </c>
    </row>
    <row r="2233" spans="5:8" x14ac:dyDescent="0.2">
      <c r="G2233" t="str">
        <f>"20112.21"</f>
        <v>20112.21</v>
      </c>
      <c r="H2233" t="s">
        <v>1611</v>
      </c>
    </row>
    <row r="2234" spans="5:8" x14ac:dyDescent="0.2">
      <c r="G2234" t="str">
        <f>"20112.22"</f>
        <v>20112.22</v>
      </c>
      <c r="H2234" t="s">
        <v>1612</v>
      </c>
    </row>
    <row r="2235" spans="5:8" x14ac:dyDescent="0.2">
      <c r="G2235" t="str">
        <f>"20112.23"</f>
        <v>20112.23</v>
      </c>
      <c r="H2235" t="s">
        <v>1613</v>
      </c>
    </row>
    <row r="2236" spans="5:8" x14ac:dyDescent="0.2">
      <c r="G2236" t="str">
        <f>"20112.24"</f>
        <v>20112.24</v>
      </c>
      <c r="H2236" t="s">
        <v>1614</v>
      </c>
    </row>
    <row r="2237" spans="5:8" x14ac:dyDescent="0.2">
      <c r="F2237" t="str">
        <f>"20112.9"</f>
        <v>20112.9</v>
      </c>
      <c r="H2237" t="s">
        <v>1615</v>
      </c>
    </row>
    <row r="2238" spans="5:8" x14ac:dyDescent="0.2">
      <c r="G2238" t="str">
        <f>"20112.90"</f>
        <v>20112.90</v>
      </c>
      <c r="H2238" t="s">
        <v>1615</v>
      </c>
    </row>
    <row r="2239" spans="5:8" x14ac:dyDescent="0.2">
      <c r="E2239" t="str">
        <f>"20113"</f>
        <v>20113</v>
      </c>
      <c r="H2239" t="s">
        <v>1616</v>
      </c>
    </row>
    <row r="2240" spans="5:8" x14ac:dyDescent="0.2">
      <c r="F2240" t="str">
        <f>"20113.1"</f>
        <v>20113.1</v>
      </c>
      <c r="H2240" t="s">
        <v>1617</v>
      </c>
    </row>
    <row r="2241" spans="6:8" x14ac:dyDescent="0.2">
      <c r="G2241" t="str">
        <f>"20113.11"</f>
        <v>20113.11</v>
      </c>
      <c r="H2241" t="s">
        <v>1618</v>
      </c>
    </row>
    <row r="2242" spans="6:8" x14ac:dyDescent="0.2">
      <c r="G2242" t="str">
        <f>"20113.12"</f>
        <v>20113.12</v>
      </c>
      <c r="H2242" t="s">
        <v>1619</v>
      </c>
    </row>
    <row r="2243" spans="6:8" x14ac:dyDescent="0.2">
      <c r="G2243" t="str">
        <f>"20113.13"</f>
        <v>20113.13</v>
      </c>
      <c r="H2243" t="s">
        <v>1620</v>
      </c>
    </row>
    <row r="2244" spans="6:8" x14ac:dyDescent="0.2">
      <c r="G2244" t="str">
        <f>"20113.14"</f>
        <v>20113.14</v>
      </c>
      <c r="H2244" t="s">
        <v>1621</v>
      </c>
    </row>
    <row r="2245" spans="6:8" x14ac:dyDescent="0.2">
      <c r="F2245" t="str">
        <f>"20113.2"</f>
        <v>20113.2</v>
      </c>
      <c r="H2245" t="s">
        <v>1622</v>
      </c>
    </row>
    <row r="2246" spans="6:8" x14ac:dyDescent="0.2">
      <c r="G2246" t="str">
        <f>"20113.21"</f>
        <v>20113.21</v>
      </c>
      <c r="H2246" t="s">
        <v>1623</v>
      </c>
    </row>
    <row r="2247" spans="6:8" x14ac:dyDescent="0.2">
      <c r="G2247" t="str">
        <f>"20113.22"</f>
        <v>20113.22</v>
      </c>
      <c r="H2247" t="s">
        <v>1624</v>
      </c>
    </row>
    <row r="2248" spans="6:8" x14ac:dyDescent="0.2">
      <c r="G2248" t="str">
        <f>"20113.23"</f>
        <v>20113.23</v>
      </c>
      <c r="H2248" t="s">
        <v>1625</v>
      </c>
    </row>
    <row r="2249" spans="6:8" x14ac:dyDescent="0.2">
      <c r="G2249" t="str">
        <f>"20113.24"</f>
        <v>20113.24</v>
      </c>
      <c r="H2249" t="s">
        <v>1626</v>
      </c>
    </row>
    <row r="2250" spans="6:8" x14ac:dyDescent="0.2">
      <c r="G2250" t="str">
        <f>"20113.25"</f>
        <v>20113.25</v>
      </c>
      <c r="H2250" t="s">
        <v>1627</v>
      </c>
    </row>
    <row r="2251" spans="6:8" x14ac:dyDescent="0.2">
      <c r="F2251" t="str">
        <f>"20113.3"</f>
        <v>20113.3</v>
      </c>
      <c r="H2251" t="s">
        <v>1628</v>
      </c>
    </row>
    <row r="2252" spans="6:8" x14ac:dyDescent="0.2">
      <c r="G2252" t="str">
        <f>"20113.31"</f>
        <v>20113.31</v>
      </c>
      <c r="H2252" t="s">
        <v>1629</v>
      </c>
    </row>
    <row r="2253" spans="6:8" x14ac:dyDescent="0.2">
      <c r="G2253" t="str">
        <f>"20113.32"</f>
        <v>20113.32</v>
      </c>
      <c r="H2253" t="s">
        <v>1630</v>
      </c>
    </row>
    <row r="2254" spans="6:8" x14ac:dyDescent="0.2">
      <c r="F2254" t="str">
        <f>"20113.4"</f>
        <v>20113.4</v>
      </c>
      <c r="H2254" t="s">
        <v>1631</v>
      </c>
    </row>
    <row r="2255" spans="6:8" x14ac:dyDescent="0.2">
      <c r="G2255" t="str">
        <f>"20113.41"</f>
        <v>20113.41</v>
      </c>
      <c r="H2255" t="s">
        <v>1632</v>
      </c>
    </row>
    <row r="2256" spans="6:8" x14ac:dyDescent="0.2">
      <c r="G2256" t="str">
        <f>"20113.42"</f>
        <v>20113.42</v>
      </c>
      <c r="H2256" t="s">
        <v>1633</v>
      </c>
    </row>
    <row r="2257" spans="5:8" x14ac:dyDescent="0.2">
      <c r="G2257" t="str">
        <f>"20113.43"</f>
        <v>20113.43</v>
      </c>
      <c r="H2257" t="s">
        <v>1634</v>
      </c>
    </row>
    <row r="2258" spans="5:8" x14ac:dyDescent="0.2">
      <c r="F2258" t="str">
        <f>"20113.5"</f>
        <v>20113.5</v>
      </c>
      <c r="H2258" t="s">
        <v>1635</v>
      </c>
    </row>
    <row r="2259" spans="5:8" x14ac:dyDescent="0.2">
      <c r="G2259" t="str">
        <f>"20113.51"</f>
        <v>20113.51</v>
      </c>
      <c r="H2259" t="s">
        <v>1636</v>
      </c>
    </row>
    <row r="2260" spans="5:8" x14ac:dyDescent="0.2">
      <c r="G2260" t="str">
        <f>"20113.52"</f>
        <v>20113.52</v>
      </c>
      <c r="H2260" t="s">
        <v>1637</v>
      </c>
    </row>
    <row r="2261" spans="5:8" x14ac:dyDescent="0.2">
      <c r="F2261" t="str">
        <f>"20113.6"</f>
        <v>20113.6</v>
      </c>
      <c r="H2261" t="s">
        <v>1638</v>
      </c>
    </row>
    <row r="2262" spans="5:8" x14ac:dyDescent="0.2">
      <c r="G2262" t="str">
        <f>"20113.61"</f>
        <v>20113.61</v>
      </c>
      <c r="H2262" t="s">
        <v>1639</v>
      </c>
    </row>
    <row r="2263" spans="5:8" x14ac:dyDescent="0.2">
      <c r="G2263" t="str">
        <f>"20113.62"</f>
        <v>20113.62</v>
      </c>
      <c r="H2263" t="s">
        <v>1640</v>
      </c>
    </row>
    <row r="2264" spans="5:8" x14ac:dyDescent="0.2">
      <c r="G2264" t="str">
        <f>"20113.63"</f>
        <v>20113.63</v>
      </c>
      <c r="H2264" t="s">
        <v>1641</v>
      </c>
    </row>
    <row r="2265" spans="5:8" x14ac:dyDescent="0.2">
      <c r="G2265" t="str">
        <f>"20113.64"</f>
        <v>20113.64</v>
      </c>
      <c r="H2265" t="s">
        <v>1642</v>
      </c>
    </row>
    <row r="2266" spans="5:8" x14ac:dyDescent="0.2">
      <c r="G2266" t="str">
        <f>"20113.65"</f>
        <v>20113.65</v>
      </c>
      <c r="H2266" t="s">
        <v>1643</v>
      </c>
    </row>
    <row r="2267" spans="5:8" x14ac:dyDescent="0.2">
      <c r="G2267" t="str">
        <f>"20113.66"</f>
        <v>20113.66</v>
      </c>
      <c r="H2267" t="s">
        <v>1644</v>
      </c>
    </row>
    <row r="2268" spans="5:8" x14ac:dyDescent="0.2">
      <c r="G2268" t="str">
        <f>"20113.67"</f>
        <v>20113.67</v>
      </c>
      <c r="H2268" t="s">
        <v>1645</v>
      </c>
    </row>
    <row r="2269" spans="5:8" x14ac:dyDescent="0.2">
      <c r="G2269" t="str">
        <f>"20113.68"</f>
        <v>20113.68</v>
      </c>
      <c r="H2269" t="s">
        <v>1646</v>
      </c>
    </row>
    <row r="2270" spans="5:8" x14ac:dyDescent="0.2">
      <c r="F2270" t="str">
        <f>"20113.9"</f>
        <v>20113.9</v>
      </c>
      <c r="H2270" t="s">
        <v>1647</v>
      </c>
    </row>
    <row r="2271" spans="5:8" x14ac:dyDescent="0.2">
      <c r="G2271" t="str">
        <f>"20113.90"</f>
        <v>20113.90</v>
      </c>
      <c r="H2271" t="s">
        <v>1647</v>
      </c>
    </row>
    <row r="2272" spans="5:8" x14ac:dyDescent="0.2">
      <c r="E2272" t="str">
        <f>"20114"</f>
        <v>20114</v>
      </c>
      <c r="H2272" t="s">
        <v>1648</v>
      </c>
    </row>
    <row r="2273" spans="5:8" x14ac:dyDescent="0.2">
      <c r="F2273" t="str">
        <f>"20114.1"</f>
        <v>20114.1</v>
      </c>
      <c r="H2273" t="s">
        <v>1648</v>
      </c>
    </row>
    <row r="2274" spans="5:8" x14ac:dyDescent="0.2">
      <c r="G2274" t="str">
        <f>"20114.11"</f>
        <v>20114.11</v>
      </c>
      <c r="H2274" t="s">
        <v>1649</v>
      </c>
    </row>
    <row r="2275" spans="5:8" x14ac:dyDescent="0.2">
      <c r="G2275" t="str">
        <f>"20114.12"</f>
        <v>20114.12</v>
      </c>
      <c r="H2275" t="s">
        <v>1650</v>
      </c>
    </row>
    <row r="2276" spans="5:8" x14ac:dyDescent="0.2">
      <c r="F2276" t="str">
        <f>"20114.9"</f>
        <v>20114.9</v>
      </c>
      <c r="H2276" t="s">
        <v>1651</v>
      </c>
    </row>
    <row r="2277" spans="5:8" x14ac:dyDescent="0.2">
      <c r="G2277" t="str">
        <f>"20114.90"</f>
        <v>20114.90</v>
      </c>
      <c r="H2277" t="s">
        <v>1651</v>
      </c>
    </row>
    <row r="2278" spans="5:8" x14ac:dyDescent="0.2">
      <c r="E2278" t="str">
        <f>"20115"</f>
        <v>20115</v>
      </c>
      <c r="H2278" t="s">
        <v>1652</v>
      </c>
    </row>
    <row r="2279" spans="5:8" x14ac:dyDescent="0.2">
      <c r="F2279" t="str">
        <f>"20115.1"</f>
        <v>20115.1</v>
      </c>
      <c r="H2279" t="s">
        <v>1653</v>
      </c>
    </row>
    <row r="2280" spans="5:8" x14ac:dyDescent="0.2">
      <c r="G2280" t="str">
        <f>"20115.11"</f>
        <v>20115.11</v>
      </c>
      <c r="H2280" t="s">
        <v>1654</v>
      </c>
    </row>
    <row r="2281" spans="5:8" x14ac:dyDescent="0.2">
      <c r="G2281" t="str">
        <f>"20115.12"</f>
        <v>20115.12</v>
      </c>
      <c r="H2281" t="s">
        <v>1655</v>
      </c>
    </row>
    <row r="2282" spans="5:8" x14ac:dyDescent="0.2">
      <c r="G2282" t="str">
        <f>"20115.13"</f>
        <v>20115.13</v>
      </c>
      <c r="H2282" t="s">
        <v>1656</v>
      </c>
    </row>
    <row r="2283" spans="5:8" x14ac:dyDescent="0.2">
      <c r="G2283" t="str">
        <f>"20115.14"</f>
        <v>20115.14</v>
      </c>
      <c r="H2283" t="s">
        <v>1657</v>
      </c>
    </row>
    <row r="2284" spans="5:8" x14ac:dyDescent="0.2">
      <c r="G2284" t="str">
        <f>"20115.19"</f>
        <v>20115.19</v>
      </c>
      <c r="H2284" t="s">
        <v>1658</v>
      </c>
    </row>
    <row r="2285" spans="5:8" x14ac:dyDescent="0.2">
      <c r="F2285" t="str">
        <f>"20115.2"</f>
        <v>20115.2</v>
      </c>
      <c r="H2285" t="s">
        <v>1659</v>
      </c>
    </row>
    <row r="2286" spans="5:8" x14ac:dyDescent="0.2">
      <c r="G2286" t="str">
        <f>"20115.21"</f>
        <v>20115.21</v>
      </c>
      <c r="H2286" t="s">
        <v>1660</v>
      </c>
    </row>
    <row r="2287" spans="5:8" x14ac:dyDescent="0.2">
      <c r="G2287" t="str">
        <f>"20115.22"</f>
        <v>20115.22</v>
      </c>
      <c r="H2287" t="s">
        <v>1661</v>
      </c>
    </row>
    <row r="2288" spans="5:8" x14ac:dyDescent="0.2">
      <c r="G2288" t="str">
        <f>"20115.23"</f>
        <v>20115.23</v>
      </c>
      <c r="H2288" t="s">
        <v>1662</v>
      </c>
    </row>
    <row r="2289" spans="6:8" x14ac:dyDescent="0.2">
      <c r="G2289" t="str">
        <f>"20115.24"</f>
        <v>20115.24</v>
      </c>
      <c r="H2289" t="s">
        <v>1663</v>
      </c>
    </row>
    <row r="2290" spans="6:8" x14ac:dyDescent="0.2">
      <c r="F2290" t="str">
        <f>"20115.3"</f>
        <v>20115.3</v>
      </c>
      <c r="H2290" t="s">
        <v>1664</v>
      </c>
    </row>
    <row r="2291" spans="6:8" x14ac:dyDescent="0.2">
      <c r="G2291" t="str">
        <f>"20115.31"</f>
        <v>20115.31</v>
      </c>
      <c r="H2291" t="s">
        <v>1665</v>
      </c>
    </row>
    <row r="2292" spans="6:8" x14ac:dyDescent="0.2">
      <c r="G2292" t="str">
        <f>"20115.32"</f>
        <v>20115.32</v>
      </c>
      <c r="H2292" t="s">
        <v>1666</v>
      </c>
    </row>
    <row r="2293" spans="6:8" x14ac:dyDescent="0.2">
      <c r="G2293" t="str">
        <f>"20115.33"</f>
        <v>20115.33</v>
      </c>
      <c r="H2293" t="s">
        <v>1667</v>
      </c>
    </row>
    <row r="2294" spans="6:8" x14ac:dyDescent="0.2">
      <c r="G2294" t="str">
        <f>"20115.34"</f>
        <v>20115.34</v>
      </c>
      <c r="H2294" t="s">
        <v>1668</v>
      </c>
    </row>
    <row r="2295" spans="6:8" x14ac:dyDescent="0.2">
      <c r="F2295" t="str">
        <f>"20115.4"</f>
        <v>20115.4</v>
      </c>
      <c r="H2295" t="s">
        <v>1669</v>
      </c>
    </row>
    <row r="2296" spans="6:8" x14ac:dyDescent="0.2">
      <c r="G2296" t="str">
        <f>"20115.41"</f>
        <v>20115.41</v>
      </c>
      <c r="H2296" t="s">
        <v>1670</v>
      </c>
    </row>
    <row r="2297" spans="6:8" x14ac:dyDescent="0.2">
      <c r="G2297" t="str">
        <f>"20115.42"</f>
        <v>20115.42</v>
      </c>
      <c r="H2297" t="s">
        <v>1671</v>
      </c>
    </row>
    <row r="2298" spans="6:8" x14ac:dyDescent="0.2">
      <c r="G2298" t="str">
        <f>"20115.43"</f>
        <v>20115.43</v>
      </c>
      <c r="H2298" t="s">
        <v>1672</v>
      </c>
    </row>
    <row r="2299" spans="6:8" x14ac:dyDescent="0.2">
      <c r="G2299" t="str">
        <f>"20115.49"</f>
        <v>20115.49</v>
      </c>
      <c r="H2299" t="s">
        <v>1673</v>
      </c>
    </row>
    <row r="2300" spans="6:8" x14ac:dyDescent="0.2">
      <c r="F2300" t="str">
        <f>"20115.5"</f>
        <v>20115.5</v>
      </c>
      <c r="H2300" t="s">
        <v>1674</v>
      </c>
    </row>
    <row r="2301" spans="6:8" x14ac:dyDescent="0.2">
      <c r="G2301" t="str">
        <f>"20115.51"</f>
        <v>20115.51</v>
      </c>
      <c r="H2301" t="s">
        <v>1675</v>
      </c>
    </row>
    <row r="2302" spans="6:8" x14ac:dyDescent="0.2">
      <c r="G2302" t="str">
        <f>"20115.52"</f>
        <v>20115.52</v>
      </c>
      <c r="H2302" t="s">
        <v>1676</v>
      </c>
    </row>
    <row r="2303" spans="6:8" x14ac:dyDescent="0.2">
      <c r="G2303" t="str">
        <f>"20115.53"</f>
        <v>20115.53</v>
      </c>
      <c r="H2303" t="s">
        <v>1677</v>
      </c>
    </row>
    <row r="2304" spans="6:8" x14ac:dyDescent="0.2">
      <c r="F2304" t="str">
        <f>"20115.6"</f>
        <v>20115.6</v>
      </c>
      <c r="H2304" t="s">
        <v>1678</v>
      </c>
    </row>
    <row r="2305" spans="4:8" x14ac:dyDescent="0.2">
      <c r="G2305" t="str">
        <f>"20115.61"</f>
        <v>20115.61</v>
      </c>
      <c r="H2305" t="s">
        <v>1679</v>
      </c>
    </row>
    <row r="2306" spans="4:8" x14ac:dyDescent="0.2">
      <c r="G2306" t="str">
        <f>"20115.62"</f>
        <v>20115.62</v>
      </c>
      <c r="H2306" t="s">
        <v>1680</v>
      </c>
    </row>
    <row r="2307" spans="4:8" x14ac:dyDescent="0.2">
      <c r="G2307" t="str">
        <f>"20115.63"</f>
        <v>20115.63</v>
      </c>
      <c r="H2307" t="s">
        <v>1681</v>
      </c>
    </row>
    <row r="2308" spans="4:8" x14ac:dyDescent="0.2">
      <c r="G2308" t="str">
        <f>"20115.69"</f>
        <v>20115.69</v>
      </c>
      <c r="H2308" t="s">
        <v>1682</v>
      </c>
    </row>
    <row r="2309" spans="4:8" x14ac:dyDescent="0.2">
      <c r="F2309" t="str">
        <f>"20115.7"</f>
        <v>20115.7</v>
      </c>
      <c r="H2309" t="s">
        <v>1683</v>
      </c>
    </row>
    <row r="2310" spans="4:8" x14ac:dyDescent="0.2">
      <c r="G2310" t="str">
        <f>"20115.71"</f>
        <v>20115.71</v>
      </c>
      <c r="H2310" t="s">
        <v>1684</v>
      </c>
    </row>
    <row r="2311" spans="4:8" x14ac:dyDescent="0.2">
      <c r="G2311" t="str">
        <f>"20115.72"</f>
        <v>20115.72</v>
      </c>
      <c r="H2311" t="s">
        <v>1685</v>
      </c>
    </row>
    <row r="2312" spans="4:8" x14ac:dyDescent="0.2">
      <c r="G2312" t="str">
        <f>"20115.73"</f>
        <v>20115.73</v>
      </c>
      <c r="H2312" t="s">
        <v>1686</v>
      </c>
    </row>
    <row r="2313" spans="4:8" x14ac:dyDescent="0.2">
      <c r="F2313" t="str">
        <f>"20115.8"</f>
        <v>20115.8</v>
      </c>
      <c r="H2313" t="s">
        <v>1687</v>
      </c>
    </row>
    <row r="2314" spans="4:8" x14ac:dyDescent="0.2">
      <c r="G2314" t="str">
        <f>"20115.80"</f>
        <v>20115.80</v>
      </c>
      <c r="H2314" t="s">
        <v>1687</v>
      </c>
    </row>
    <row r="2315" spans="4:8" x14ac:dyDescent="0.2">
      <c r="F2315" t="str">
        <f>"20115.9"</f>
        <v>20115.9</v>
      </c>
      <c r="H2315" t="s">
        <v>1688</v>
      </c>
    </row>
    <row r="2316" spans="4:8" x14ac:dyDescent="0.2">
      <c r="G2316" t="str">
        <f>"20115.90"</f>
        <v>20115.90</v>
      </c>
      <c r="H2316" t="s">
        <v>1688</v>
      </c>
    </row>
    <row r="2317" spans="4:8" x14ac:dyDescent="0.2">
      <c r="D2317" t="str">
        <f>"2012"</f>
        <v>2012</v>
      </c>
      <c r="H2317" t="s">
        <v>1689</v>
      </c>
    </row>
    <row r="2318" spans="4:8" x14ac:dyDescent="0.2">
      <c r="E2318" t="str">
        <f>"20121"</f>
        <v>20121</v>
      </c>
      <c r="H2318" t="s">
        <v>1690</v>
      </c>
    </row>
    <row r="2319" spans="4:8" x14ac:dyDescent="0.2">
      <c r="F2319" t="str">
        <f>"20121.1"</f>
        <v>20121.1</v>
      </c>
      <c r="H2319" t="s">
        <v>1691</v>
      </c>
    </row>
    <row r="2320" spans="4:8" x14ac:dyDescent="0.2">
      <c r="G2320" t="str">
        <f>"20121.11"</f>
        <v>20121.11</v>
      </c>
      <c r="H2320" t="s">
        <v>1692</v>
      </c>
    </row>
    <row r="2321" spans="6:8" x14ac:dyDescent="0.2">
      <c r="G2321" t="str">
        <f>"20121.12"</f>
        <v>20121.12</v>
      </c>
      <c r="H2321" t="s">
        <v>1693</v>
      </c>
    </row>
    <row r="2322" spans="6:8" x14ac:dyDescent="0.2">
      <c r="G2322" t="str">
        <f>"20121.13"</f>
        <v>20121.13</v>
      </c>
      <c r="H2322" t="s">
        <v>1694</v>
      </c>
    </row>
    <row r="2323" spans="6:8" x14ac:dyDescent="0.2">
      <c r="G2323" t="str">
        <f>"20121.14"</f>
        <v>20121.14</v>
      </c>
      <c r="H2323" t="s">
        <v>1695</v>
      </c>
    </row>
    <row r="2324" spans="6:8" x14ac:dyDescent="0.2">
      <c r="G2324" t="str">
        <f>"20121.15"</f>
        <v>20121.15</v>
      </c>
      <c r="H2324" t="s">
        <v>1696</v>
      </c>
    </row>
    <row r="2325" spans="6:8" x14ac:dyDescent="0.2">
      <c r="G2325" t="str">
        <f>"20121.19"</f>
        <v>20121.19</v>
      </c>
      <c r="H2325" t="s">
        <v>1697</v>
      </c>
    </row>
    <row r="2326" spans="6:8" x14ac:dyDescent="0.2">
      <c r="F2326" t="str">
        <f>"20121.2"</f>
        <v>20121.2</v>
      </c>
      <c r="H2326" t="s">
        <v>1698</v>
      </c>
    </row>
    <row r="2327" spans="6:8" x14ac:dyDescent="0.2">
      <c r="G2327" t="str">
        <f>"20121.21"</f>
        <v>20121.21</v>
      </c>
      <c r="H2327" t="s">
        <v>1699</v>
      </c>
    </row>
    <row r="2328" spans="6:8" x14ac:dyDescent="0.2">
      <c r="G2328" t="str">
        <f>"20121.29"</f>
        <v>20121.29</v>
      </c>
      <c r="H2328" t="s">
        <v>1700</v>
      </c>
    </row>
    <row r="2329" spans="6:8" x14ac:dyDescent="0.2">
      <c r="F2329" t="str">
        <f>"20121.3"</f>
        <v>20121.3</v>
      </c>
      <c r="H2329" t="s">
        <v>1701</v>
      </c>
    </row>
    <row r="2330" spans="6:8" x14ac:dyDescent="0.2">
      <c r="G2330" t="str">
        <f>"20121.31"</f>
        <v>20121.31</v>
      </c>
      <c r="H2330" t="s">
        <v>1702</v>
      </c>
    </row>
    <row r="2331" spans="6:8" x14ac:dyDescent="0.2">
      <c r="G2331" t="str">
        <f>"20121.32"</f>
        <v>20121.32</v>
      </c>
      <c r="H2331" t="s">
        <v>1703</v>
      </c>
    </row>
    <row r="2332" spans="6:8" x14ac:dyDescent="0.2">
      <c r="G2332" t="str">
        <f>"20121.39"</f>
        <v>20121.39</v>
      </c>
      <c r="H2332" t="s">
        <v>1704</v>
      </c>
    </row>
    <row r="2333" spans="6:8" x14ac:dyDescent="0.2">
      <c r="F2333" t="str">
        <f>"20121.4"</f>
        <v>20121.4</v>
      </c>
      <c r="H2333" t="s">
        <v>1705</v>
      </c>
    </row>
    <row r="2334" spans="6:8" x14ac:dyDescent="0.2">
      <c r="G2334" t="str">
        <f>"20121.41"</f>
        <v>20121.41</v>
      </c>
      <c r="H2334" t="s">
        <v>1706</v>
      </c>
    </row>
    <row r="2335" spans="6:8" x14ac:dyDescent="0.2">
      <c r="G2335" t="str">
        <f>"20121.42"</f>
        <v>20121.42</v>
      </c>
      <c r="H2335" t="s">
        <v>1707</v>
      </c>
    </row>
    <row r="2336" spans="6:8" x14ac:dyDescent="0.2">
      <c r="G2336" t="str">
        <f>"20121.43"</f>
        <v>20121.43</v>
      </c>
      <c r="H2336" t="s">
        <v>1708</v>
      </c>
    </row>
    <row r="2337" spans="5:8" x14ac:dyDescent="0.2">
      <c r="G2337" t="str">
        <f>"20121.44"</f>
        <v>20121.44</v>
      </c>
      <c r="H2337" t="s">
        <v>1709</v>
      </c>
    </row>
    <row r="2338" spans="5:8" x14ac:dyDescent="0.2">
      <c r="G2338" t="str">
        <f>"20121.45"</f>
        <v>20121.45</v>
      </c>
      <c r="H2338" t="s">
        <v>1710</v>
      </c>
    </row>
    <row r="2339" spans="5:8" x14ac:dyDescent="0.2">
      <c r="G2339" t="str">
        <f>"20121.49"</f>
        <v>20121.49</v>
      </c>
      <c r="H2339" t="s">
        <v>1711</v>
      </c>
    </row>
    <row r="2340" spans="5:8" x14ac:dyDescent="0.2">
      <c r="F2340" t="str">
        <f>"20121.5"</f>
        <v>20121.5</v>
      </c>
      <c r="H2340" t="s">
        <v>1712</v>
      </c>
    </row>
    <row r="2341" spans="5:8" x14ac:dyDescent="0.2">
      <c r="G2341" t="str">
        <f>"20121.50"</f>
        <v>20121.50</v>
      </c>
      <c r="H2341" t="s">
        <v>1712</v>
      </c>
    </row>
    <row r="2342" spans="5:8" x14ac:dyDescent="0.2">
      <c r="F2342" t="str">
        <f>"20121.9"</f>
        <v>20121.9</v>
      </c>
      <c r="H2342" t="s">
        <v>1713</v>
      </c>
    </row>
    <row r="2343" spans="5:8" x14ac:dyDescent="0.2">
      <c r="G2343" t="str">
        <f>"20121.90"</f>
        <v>20121.90</v>
      </c>
      <c r="H2343" t="s">
        <v>1713</v>
      </c>
    </row>
    <row r="2344" spans="5:8" x14ac:dyDescent="0.2">
      <c r="E2344" t="str">
        <f>"20122"</f>
        <v>20122</v>
      </c>
      <c r="H2344" t="s">
        <v>1714</v>
      </c>
    </row>
    <row r="2345" spans="5:8" x14ac:dyDescent="0.2">
      <c r="F2345" t="str">
        <f>"20122.1"</f>
        <v>20122.1</v>
      </c>
      <c r="H2345" t="s">
        <v>1715</v>
      </c>
    </row>
    <row r="2346" spans="5:8" x14ac:dyDescent="0.2">
      <c r="G2346" t="str">
        <f>"20122.10"</f>
        <v>20122.10</v>
      </c>
      <c r="H2346" t="s">
        <v>1715</v>
      </c>
    </row>
    <row r="2347" spans="5:8" x14ac:dyDescent="0.2">
      <c r="F2347" t="str">
        <f>"20122.2"</f>
        <v>20122.2</v>
      </c>
      <c r="H2347" t="s">
        <v>1716</v>
      </c>
    </row>
    <row r="2348" spans="5:8" x14ac:dyDescent="0.2">
      <c r="G2348" t="str">
        <f>"20122.20"</f>
        <v>20122.20</v>
      </c>
      <c r="H2348" t="s">
        <v>1717</v>
      </c>
    </row>
    <row r="2349" spans="5:8" x14ac:dyDescent="0.2">
      <c r="F2349" t="str">
        <f>"20122.3"</f>
        <v>20122.3</v>
      </c>
      <c r="H2349" t="s">
        <v>1718</v>
      </c>
    </row>
    <row r="2350" spans="5:8" x14ac:dyDescent="0.2">
      <c r="G2350" t="str">
        <f>"20122.30"</f>
        <v>20122.30</v>
      </c>
      <c r="H2350" t="s">
        <v>1718</v>
      </c>
    </row>
    <row r="2351" spans="5:8" x14ac:dyDescent="0.2">
      <c r="F2351" t="str">
        <f>"20122.9"</f>
        <v>20122.9</v>
      </c>
      <c r="H2351" t="s">
        <v>1719</v>
      </c>
    </row>
    <row r="2352" spans="5:8" x14ac:dyDescent="0.2">
      <c r="G2352" t="str">
        <f>"20122.90"</f>
        <v>20122.90</v>
      </c>
      <c r="H2352" t="s">
        <v>1719</v>
      </c>
    </row>
    <row r="2353" spans="4:8" x14ac:dyDescent="0.2">
      <c r="D2353" t="str">
        <f>"2013"</f>
        <v>2013</v>
      </c>
      <c r="H2353" t="s">
        <v>1720</v>
      </c>
    </row>
    <row r="2354" spans="4:8" x14ac:dyDescent="0.2">
      <c r="E2354" t="str">
        <f>"20131"</f>
        <v>20131</v>
      </c>
      <c r="H2354" t="s">
        <v>1721</v>
      </c>
    </row>
    <row r="2355" spans="4:8" x14ac:dyDescent="0.2">
      <c r="F2355" t="str">
        <f>"20131.1"</f>
        <v>20131.1</v>
      </c>
      <c r="H2355" t="s">
        <v>1722</v>
      </c>
    </row>
    <row r="2356" spans="4:8" x14ac:dyDescent="0.2">
      <c r="G2356" t="str">
        <f>"20131.10"</f>
        <v>20131.10</v>
      </c>
      <c r="H2356" t="s">
        <v>1722</v>
      </c>
    </row>
    <row r="2357" spans="4:8" x14ac:dyDescent="0.2">
      <c r="F2357" t="str">
        <f>"20131.2"</f>
        <v>20131.2</v>
      </c>
      <c r="H2357" t="s">
        <v>1723</v>
      </c>
    </row>
    <row r="2358" spans="4:8" x14ac:dyDescent="0.2">
      <c r="G2358" t="str">
        <f>"20131.20"</f>
        <v>20131.20</v>
      </c>
      <c r="H2358" t="s">
        <v>1723</v>
      </c>
    </row>
    <row r="2359" spans="4:8" x14ac:dyDescent="0.2">
      <c r="F2359" t="str">
        <f>"20131.3"</f>
        <v>20131.3</v>
      </c>
      <c r="H2359" t="s">
        <v>1724</v>
      </c>
    </row>
    <row r="2360" spans="4:8" x14ac:dyDescent="0.2">
      <c r="G2360" t="str">
        <f>"20131.30"</f>
        <v>20131.30</v>
      </c>
      <c r="H2360" t="s">
        <v>1724</v>
      </c>
    </row>
    <row r="2361" spans="4:8" x14ac:dyDescent="0.2">
      <c r="F2361" t="str">
        <f>"20131.4"</f>
        <v>20131.4</v>
      </c>
      <c r="H2361" t="s">
        <v>1725</v>
      </c>
    </row>
    <row r="2362" spans="4:8" x14ac:dyDescent="0.2">
      <c r="G2362" t="str">
        <f>"20131.40"</f>
        <v>20131.40</v>
      </c>
      <c r="H2362" t="s">
        <v>1726</v>
      </c>
    </row>
    <row r="2363" spans="4:8" x14ac:dyDescent="0.2">
      <c r="F2363" t="str">
        <f>"20131.5"</f>
        <v>20131.5</v>
      </c>
      <c r="H2363" t="s">
        <v>1727</v>
      </c>
    </row>
    <row r="2364" spans="4:8" x14ac:dyDescent="0.2">
      <c r="G2364" t="str">
        <f>"20131.51"</f>
        <v>20131.51</v>
      </c>
      <c r="H2364" t="s">
        <v>1728</v>
      </c>
    </row>
    <row r="2365" spans="4:8" x14ac:dyDescent="0.2">
      <c r="G2365" t="str">
        <f>"20131.52"</f>
        <v>20131.52</v>
      </c>
      <c r="H2365" t="s">
        <v>1729</v>
      </c>
    </row>
    <row r="2366" spans="4:8" x14ac:dyDescent="0.2">
      <c r="G2366" t="str">
        <f>"20131.53"</f>
        <v>20131.53</v>
      </c>
      <c r="H2366" t="s">
        <v>1730</v>
      </c>
    </row>
    <row r="2367" spans="4:8" x14ac:dyDescent="0.2">
      <c r="G2367" t="str">
        <f>"20131.54"</f>
        <v>20131.54</v>
      </c>
      <c r="H2367" t="s">
        <v>1731</v>
      </c>
    </row>
    <row r="2368" spans="4:8" x14ac:dyDescent="0.2">
      <c r="G2368" t="str">
        <f>"20131.55"</f>
        <v>20131.55</v>
      </c>
      <c r="H2368" t="s">
        <v>1732</v>
      </c>
    </row>
    <row r="2369" spans="3:8" x14ac:dyDescent="0.2">
      <c r="G2369" t="str">
        <f>"20131.56"</f>
        <v>20131.56</v>
      </c>
      <c r="H2369" t="s">
        <v>1733</v>
      </c>
    </row>
    <row r="2370" spans="3:8" x14ac:dyDescent="0.2">
      <c r="G2370" t="str">
        <f>"20131.57"</f>
        <v>20131.57</v>
      </c>
      <c r="H2370" t="s">
        <v>1734</v>
      </c>
    </row>
    <row r="2371" spans="3:8" x14ac:dyDescent="0.2">
      <c r="G2371" t="str">
        <f>"20131.59"</f>
        <v>20131.59</v>
      </c>
      <c r="H2371" t="s">
        <v>1735</v>
      </c>
    </row>
    <row r="2372" spans="3:8" x14ac:dyDescent="0.2">
      <c r="F2372" t="str">
        <f>"20131.9"</f>
        <v>20131.9</v>
      </c>
      <c r="H2372" t="s">
        <v>1736</v>
      </c>
    </row>
    <row r="2373" spans="3:8" x14ac:dyDescent="0.2">
      <c r="G2373" t="str">
        <f>"20131.90"</f>
        <v>20131.90</v>
      </c>
      <c r="H2373" t="s">
        <v>1736</v>
      </c>
    </row>
    <row r="2374" spans="3:8" x14ac:dyDescent="0.2">
      <c r="E2374" t="str">
        <f>"20132"</f>
        <v>20132</v>
      </c>
      <c r="H2374" t="s">
        <v>1737</v>
      </c>
    </row>
    <row r="2375" spans="3:8" x14ac:dyDescent="0.2">
      <c r="F2375" t="str">
        <f>"20132.1"</f>
        <v>20132.1</v>
      </c>
      <c r="H2375" t="s">
        <v>1738</v>
      </c>
    </row>
    <row r="2376" spans="3:8" x14ac:dyDescent="0.2">
      <c r="G2376" t="str">
        <f>"20132.10"</f>
        <v>20132.10</v>
      </c>
      <c r="H2376" t="s">
        <v>1738</v>
      </c>
    </row>
    <row r="2377" spans="3:8" x14ac:dyDescent="0.2">
      <c r="F2377" t="str">
        <f>"20132.9"</f>
        <v>20132.9</v>
      </c>
      <c r="H2377" t="s">
        <v>1739</v>
      </c>
    </row>
    <row r="2378" spans="3:8" x14ac:dyDescent="0.2">
      <c r="G2378" t="str">
        <f>"20132.90"</f>
        <v>20132.90</v>
      </c>
      <c r="H2378" t="s">
        <v>1739</v>
      </c>
    </row>
    <row r="2379" spans="3:8" x14ac:dyDescent="0.2">
      <c r="C2379" t="str">
        <f>"202"</f>
        <v>202</v>
      </c>
      <c r="H2379" t="s">
        <v>1740</v>
      </c>
    </row>
    <row r="2380" spans="3:8" x14ac:dyDescent="0.2">
      <c r="D2380" t="str">
        <f>"2021"</f>
        <v>2021</v>
      </c>
      <c r="H2380" t="s">
        <v>1741</v>
      </c>
    </row>
    <row r="2381" spans="3:8" x14ac:dyDescent="0.2">
      <c r="E2381" t="str">
        <f>"20210"</f>
        <v>20210</v>
      </c>
      <c r="H2381" t="s">
        <v>1741</v>
      </c>
    </row>
    <row r="2382" spans="3:8" x14ac:dyDescent="0.2">
      <c r="F2382" t="str">
        <f>"20210.1"</f>
        <v>20210.1</v>
      </c>
      <c r="H2382" t="s">
        <v>1741</v>
      </c>
    </row>
    <row r="2383" spans="3:8" x14ac:dyDescent="0.2">
      <c r="G2383" t="str">
        <f>"20210.11"</f>
        <v>20210.11</v>
      </c>
      <c r="H2383" t="s">
        <v>1742</v>
      </c>
    </row>
    <row r="2384" spans="3:8" x14ac:dyDescent="0.2">
      <c r="G2384" t="str">
        <f>"20210.12"</f>
        <v>20210.12</v>
      </c>
      <c r="H2384" t="s">
        <v>1743</v>
      </c>
    </row>
    <row r="2385" spans="4:8" x14ac:dyDescent="0.2">
      <c r="G2385" t="str">
        <f>"20210.13"</f>
        <v>20210.13</v>
      </c>
      <c r="H2385" t="s">
        <v>1744</v>
      </c>
    </row>
    <row r="2386" spans="4:8" x14ac:dyDescent="0.2">
      <c r="G2386" t="str">
        <f>"20210.14"</f>
        <v>20210.14</v>
      </c>
      <c r="H2386" t="s">
        <v>1745</v>
      </c>
    </row>
    <row r="2387" spans="4:8" x14ac:dyDescent="0.2">
      <c r="G2387" t="str">
        <f>"20210.15"</f>
        <v>20210.15</v>
      </c>
      <c r="H2387" t="s">
        <v>1746</v>
      </c>
    </row>
    <row r="2388" spans="4:8" x14ac:dyDescent="0.2">
      <c r="G2388" t="str">
        <f>"20210.19"</f>
        <v>20210.19</v>
      </c>
      <c r="H2388" t="s">
        <v>1747</v>
      </c>
    </row>
    <row r="2389" spans="4:8" x14ac:dyDescent="0.2">
      <c r="F2389" t="str">
        <f>"20210.9"</f>
        <v>20210.9</v>
      </c>
      <c r="H2389" t="s">
        <v>1748</v>
      </c>
    </row>
    <row r="2390" spans="4:8" x14ac:dyDescent="0.2">
      <c r="G2390" t="str">
        <f>"20210.90"</f>
        <v>20210.90</v>
      </c>
      <c r="H2390" t="s">
        <v>1748</v>
      </c>
    </row>
    <row r="2391" spans="4:8" x14ac:dyDescent="0.2">
      <c r="D2391" t="str">
        <f>"2022"</f>
        <v>2022</v>
      </c>
      <c r="H2391" t="s">
        <v>1749</v>
      </c>
    </row>
    <row r="2392" spans="4:8" x14ac:dyDescent="0.2">
      <c r="E2392" t="str">
        <f>"20221"</f>
        <v>20221</v>
      </c>
      <c r="H2392" t="s">
        <v>1750</v>
      </c>
    </row>
    <row r="2393" spans="4:8" x14ac:dyDescent="0.2">
      <c r="F2393" t="str">
        <f>"20221.1"</f>
        <v>20221.1</v>
      </c>
      <c r="H2393" t="s">
        <v>1751</v>
      </c>
    </row>
    <row r="2394" spans="4:8" x14ac:dyDescent="0.2">
      <c r="G2394" t="str">
        <f>"20221.11"</f>
        <v>20221.11</v>
      </c>
      <c r="H2394" t="s">
        <v>1752</v>
      </c>
    </row>
    <row r="2395" spans="4:8" x14ac:dyDescent="0.2">
      <c r="G2395" t="str">
        <f>"20221.12"</f>
        <v>20221.12</v>
      </c>
      <c r="H2395" t="s">
        <v>1753</v>
      </c>
    </row>
    <row r="2396" spans="4:8" x14ac:dyDescent="0.2">
      <c r="F2396" t="str">
        <f>"20221.2"</f>
        <v>20221.2</v>
      </c>
      <c r="H2396" t="s">
        <v>1754</v>
      </c>
    </row>
    <row r="2397" spans="4:8" x14ac:dyDescent="0.2">
      <c r="G2397" t="str">
        <f>"20221.21"</f>
        <v>20221.21</v>
      </c>
      <c r="H2397" t="s">
        <v>1755</v>
      </c>
    </row>
    <row r="2398" spans="4:8" x14ac:dyDescent="0.2">
      <c r="G2398" t="str">
        <f>"20221.22"</f>
        <v>20221.22</v>
      </c>
      <c r="H2398" t="s">
        <v>1756</v>
      </c>
    </row>
    <row r="2399" spans="4:8" x14ac:dyDescent="0.2">
      <c r="G2399" t="str">
        <f>"20221.23"</f>
        <v>20221.23</v>
      </c>
      <c r="H2399" t="s">
        <v>1757</v>
      </c>
    </row>
    <row r="2400" spans="4:8" x14ac:dyDescent="0.2">
      <c r="F2400" t="str">
        <f>"20221.9"</f>
        <v>20221.9</v>
      </c>
      <c r="H2400" t="s">
        <v>1758</v>
      </c>
    </row>
    <row r="2401" spans="4:8" x14ac:dyDescent="0.2">
      <c r="G2401" t="str">
        <f>"20221.90"</f>
        <v>20221.90</v>
      </c>
      <c r="H2401" t="s">
        <v>1759</v>
      </c>
    </row>
    <row r="2402" spans="4:8" x14ac:dyDescent="0.2">
      <c r="E2402" t="str">
        <f>"20222"</f>
        <v>20222</v>
      </c>
      <c r="H2402" t="s">
        <v>1760</v>
      </c>
    </row>
    <row r="2403" spans="4:8" x14ac:dyDescent="0.2">
      <c r="F2403" t="str">
        <f>"20222.1"</f>
        <v>20222.1</v>
      </c>
      <c r="H2403" t="s">
        <v>1760</v>
      </c>
    </row>
    <row r="2404" spans="4:8" x14ac:dyDescent="0.2">
      <c r="G2404" t="str">
        <f>"20222.10"</f>
        <v>20222.10</v>
      </c>
      <c r="H2404" t="s">
        <v>1760</v>
      </c>
    </row>
    <row r="2405" spans="4:8" x14ac:dyDescent="0.2">
      <c r="F2405" t="str">
        <f>"20222.9"</f>
        <v>20222.9</v>
      </c>
      <c r="H2405" t="s">
        <v>1761</v>
      </c>
    </row>
    <row r="2406" spans="4:8" x14ac:dyDescent="0.2">
      <c r="G2406" t="str">
        <f>"20222.90"</f>
        <v>20222.90</v>
      </c>
      <c r="H2406" t="s">
        <v>1761</v>
      </c>
    </row>
    <row r="2407" spans="4:8" x14ac:dyDescent="0.2">
      <c r="D2407" t="str">
        <f>"2023"</f>
        <v>2023</v>
      </c>
      <c r="H2407" t="s">
        <v>1762</v>
      </c>
    </row>
    <row r="2408" spans="4:8" x14ac:dyDescent="0.2">
      <c r="E2408" t="str">
        <f>"20231"</f>
        <v>20231</v>
      </c>
      <c r="H2408" t="s">
        <v>1763</v>
      </c>
    </row>
    <row r="2409" spans="4:8" x14ac:dyDescent="0.2">
      <c r="F2409" t="str">
        <f>"20231.1"</f>
        <v>20231.1</v>
      </c>
      <c r="H2409" t="s">
        <v>1764</v>
      </c>
    </row>
    <row r="2410" spans="4:8" x14ac:dyDescent="0.2">
      <c r="G2410" t="str">
        <f>"20231.10"</f>
        <v>20231.10</v>
      </c>
      <c r="H2410" t="s">
        <v>1764</v>
      </c>
    </row>
    <row r="2411" spans="4:8" x14ac:dyDescent="0.2">
      <c r="F2411" t="str">
        <f>"20231.2"</f>
        <v>20231.2</v>
      </c>
      <c r="H2411" t="s">
        <v>1765</v>
      </c>
    </row>
    <row r="2412" spans="4:8" x14ac:dyDescent="0.2">
      <c r="G2412" t="str">
        <f>"20231.20"</f>
        <v>20231.20</v>
      </c>
      <c r="H2412" t="s">
        <v>1765</v>
      </c>
    </row>
    <row r="2413" spans="4:8" x14ac:dyDescent="0.2">
      <c r="F2413" t="str">
        <f>"20231.3"</f>
        <v>20231.3</v>
      </c>
      <c r="H2413" t="s">
        <v>1766</v>
      </c>
    </row>
    <row r="2414" spans="4:8" x14ac:dyDescent="0.2">
      <c r="G2414" t="str">
        <f>"20231.31"</f>
        <v>20231.31</v>
      </c>
      <c r="H2414" t="s">
        <v>1767</v>
      </c>
    </row>
    <row r="2415" spans="4:8" x14ac:dyDescent="0.2">
      <c r="G2415" t="str">
        <f>"20231.32"</f>
        <v>20231.32</v>
      </c>
      <c r="H2415" t="s">
        <v>1768</v>
      </c>
    </row>
    <row r="2416" spans="4:8" x14ac:dyDescent="0.2">
      <c r="F2416" t="str">
        <f>"20231.4"</f>
        <v>20231.4</v>
      </c>
      <c r="H2416" t="s">
        <v>1769</v>
      </c>
    </row>
    <row r="2417" spans="5:8" x14ac:dyDescent="0.2">
      <c r="G2417" t="str">
        <f>"20231.41"</f>
        <v>20231.41</v>
      </c>
      <c r="H2417" t="s">
        <v>1770</v>
      </c>
    </row>
    <row r="2418" spans="5:8" x14ac:dyDescent="0.2">
      <c r="G2418" t="str">
        <f>"20231.42"</f>
        <v>20231.42</v>
      </c>
      <c r="H2418" t="s">
        <v>1771</v>
      </c>
    </row>
    <row r="2419" spans="5:8" x14ac:dyDescent="0.2">
      <c r="G2419" t="str">
        <f>"20231.43"</f>
        <v>20231.43</v>
      </c>
      <c r="H2419" t="s">
        <v>1772</v>
      </c>
    </row>
    <row r="2420" spans="5:8" x14ac:dyDescent="0.2">
      <c r="G2420" t="str">
        <f>"20231.44"</f>
        <v>20231.44</v>
      </c>
      <c r="H2420" t="s">
        <v>1773</v>
      </c>
    </row>
    <row r="2421" spans="5:8" x14ac:dyDescent="0.2">
      <c r="F2421" t="str">
        <f>"20231.9"</f>
        <v>20231.9</v>
      </c>
      <c r="H2421" t="s">
        <v>1774</v>
      </c>
    </row>
    <row r="2422" spans="5:8" x14ac:dyDescent="0.2">
      <c r="G2422" t="str">
        <f>"20231.90"</f>
        <v>20231.90</v>
      </c>
      <c r="H2422" t="s">
        <v>1774</v>
      </c>
    </row>
    <row r="2423" spans="5:8" x14ac:dyDescent="0.2">
      <c r="E2423" t="str">
        <f>"20232"</f>
        <v>20232</v>
      </c>
      <c r="H2423" t="s">
        <v>1775</v>
      </c>
    </row>
    <row r="2424" spans="5:8" x14ac:dyDescent="0.2">
      <c r="F2424" t="str">
        <f>"20232.1"</f>
        <v>20232.1</v>
      </c>
      <c r="H2424" t="s">
        <v>1775</v>
      </c>
    </row>
    <row r="2425" spans="5:8" x14ac:dyDescent="0.2">
      <c r="G2425" t="str">
        <f>"20232.11"</f>
        <v>20232.11</v>
      </c>
      <c r="H2425" t="s">
        <v>1776</v>
      </c>
    </row>
    <row r="2426" spans="5:8" x14ac:dyDescent="0.2">
      <c r="G2426" t="str">
        <f>"20232.12"</f>
        <v>20232.12</v>
      </c>
      <c r="H2426" t="s">
        <v>1777</v>
      </c>
    </row>
    <row r="2427" spans="5:8" x14ac:dyDescent="0.2">
      <c r="G2427" t="str">
        <f>"20232.13"</f>
        <v>20232.13</v>
      </c>
      <c r="H2427" t="s">
        <v>1778</v>
      </c>
    </row>
    <row r="2428" spans="5:8" x14ac:dyDescent="0.2">
      <c r="G2428" t="str">
        <f>"20232.14"</f>
        <v>20232.14</v>
      </c>
      <c r="H2428" t="s">
        <v>1779</v>
      </c>
    </row>
    <row r="2429" spans="5:8" x14ac:dyDescent="0.2">
      <c r="G2429" t="str">
        <f>"20232.15"</f>
        <v>20232.15</v>
      </c>
      <c r="H2429" t="s">
        <v>1780</v>
      </c>
    </row>
    <row r="2430" spans="5:8" x14ac:dyDescent="0.2">
      <c r="G2430" t="str">
        <f>"20232.16"</f>
        <v>20232.16</v>
      </c>
      <c r="H2430" t="s">
        <v>1781</v>
      </c>
    </row>
    <row r="2431" spans="5:8" x14ac:dyDescent="0.2">
      <c r="G2431" t="str">
        <f>"20232.17"</f>
        <v>20232.17</v>
      </c>
      <c r="H2431" t="s">
        <v>1782</v>
      </c>
    </row>
    <row r="2432" spans="5:8" x14ac:dyDescent="0.2">
      <c r="G2432" t="str">
        <f>"20232.19"</f>
        <v>20232.19</v>
      </c>
      <c r="H2432" t="s">
        <v>1783</v>
      </c>
    </row>
    <row r="2433" spans="4:8" x14ac:dyDescent="0.2">
      <c r="F2433" t="str">
        <f>"20232.9"</f>
        <v>20232.9</v>
      </c>
      <c r="H2433" t="s">
        <v>1784</v>
      </c>
    </row>
    <row r="2434" spans="4:8" x14ac:dyDescent="0.2">
      <c r="G2434" t="str">
        <f>"20232.90"</f>
        <v>20232.90</v>
      </c>
      <c r="H2434" t="s">
        <v>1784</v>
      </c>
    </row>
    <row r="2435" spans="4:8" x14ac:dyDescent="0.2">
      <c r="D2435" t="str">
        <f>"2029"</f>
        <v>2029</v>
      </c>
      <c r="H2435" t="s">
        <v>1785</v>
      </c>
    </row>
    <row r="2436" spans="4:8" x14ac:dyDescent="0.2">
      <c r="E2436" t="str">
        <f>"20291"</f>
        <v>20291</v>
      </c>
      <c r="H2436" t="s">
        <v>1786</v>
      </c>
    </row>
    <row r="2437" spans="4:8" x14ac:dyDescent="0.2">
      <c r="F2437" t="str">
        <f>"20291.1"</f>
        <v>20291.1</v>
      </c>
      <c r="H2437" t="s">
        <v>1787</v>
      </c>
    </row>
    <row r="2438" spans="4:8" x14ac:dyDescent="0.2">
      <c r="G2438" t="str">
        <f>"20291.11"</f>
        <v>20291.11</v>
      </c>
      <c r="H2438" t="s">
        <v>1788</v>
      </c>
    </row>
    <row r="2439" spans="4:8" x14ac:dyDescent="0.2">
      <c r="G2439" t="str">
        <f>"20291.12"</f>
        <v>20291.12</v>
      </c>
      <c r="H2439" t="s">
        <v>1789</v>
      </c>
    </row>
    <row r="2440" spans="4:8" x14ac:dyDescent="0.2">
      <c r="G2440" t="str">
        <f>"20291.13"</f>
        <v>20291.13</v>
      </c>
      <c r="H2440" t="s">
        <v>1790</v>
      </c>
    </row>
    <row r="2441" spans="4:8" x14ac:dyDescent="0.2">
      <c r="G2441" t="str">
        <f>"20291.14"</f>
        <v>20291.14</v>
      </c>
      <c r="H2441" t="s">
        <v>1791</v>
      </c>
    </row>
    <row r="2442" spans="4:8" x14ac:dyDescent="0.2">
      <c r="F2442" t="str">
        <f>"20291.2"</f>
        <v>20291.2</v>
      </c>
      <c r="H2442" t="s">
        <v>1792</v>
      </c>
    </row>
    <row r="2443" spans="4:8" x14ac:dyDescent="0.2">
      <c r="G2443" t="str">
        <f>"20291.20"</f>
        <v>20291.20</v>
      </c>
      <c r="H2443" t="s">
        <v>1792</v>
      </c>
    </row>
    <row r="2444" spans="4:8" x14ac:dyDescent="0.2">
      <c r="F2444" t="str">
        <f>"20291.9"</f>
        <v>20291.9</v>
      </c>
      <c r="H2444" t="s">
        <v>1793</v>
      </c>
    </row>
    <row r="2445" spans="4:8" x14ac:dyDescent="0.2">
      <c r="G2445" t="str">
        <f>"20291.90"</f>
        <v>20291.90</v>
      </c>
      <c r="H2445" t="s">
        <v>1793</v>
      </c>
    </row>
    <row r="2446" spans="4:8" x14ac:dyDescent="0.2">
      <c r="E2446" t="str">
        <f>"20292"</f>
        <v>20292</v>
      </c>
      <c r="H2446" t="s">
        <v>1794</v>
      </c>
    </row>
    <row r="2447" spans="4:8" x14ac:dyDescent="0.2">
      <c r="F2447" t="str">
        <f>"20292.1"</f>
        <v>20292.1</v>
      </c>
      <c r="H2447" t="s">
        <v>1795</v>
      </c>
    </row>
    <row r="2448" spans="4:8" x14ac:dyDescent="0.2">
      <c r="G2448" t="str">
        <f>"20292.10"</f>
        <v>20292.10</v>
      </c>
      <c r="H2448" t="s">
        <v>1795</v>
      </c>
    </row>
    <row r="2449" spans="5:8" x14ac:dyDescent="0.2">
      <c r="F2449" t="str">
        <f>"20292.2"</f>
        <v>20292.2</v>
      </c>
      <c r="H2449" t="s">
        <v>1796</v>
      </c>
    </row>
    <row r="2450" spans="5:8" x14ac:dyDescent="0.2">
      <c r="G2450" t="str">
        <f>"20292.20"</f>
        <v>20292.20</v>
      </c>
      <c r="H2450" t="s">
        <v>1796</v>
      </c>
    </row>
    <row r="2451" spans="5:8" x14ac:dyDescent="0.2">
      <c r="F2451" t="str">
        <f>"20292.9"</f>
        <v>20292.9</v>
      </c>
      <c r="H2451" t="s">
        <v>1797</v>
      </c>
    </row>
    <row r="2452" spans="5:8" x14ac:dyDescent="0.2">
      <c r="G2452" t="str">
        <f>"20292.90"</f>
        <v>20292.90</v>
      </c>
      <c r="H2452" t="s">
        <v>1797</v>
      </c>
    </row>
    <row r="2453" spans="5:8" x14ac:dyDescent="0.2">
      <c r="E2453" t="str">
        <f>"20293"</f>
        <v>20293</v>
      </c>
      <c r="H2453" t="s">
        <v>1798</v>
      </c>
    </row>
    <row r="2454" spans="5:8" x14ac:dyDescent="0.2">
      <c r="F2454" t="str">
        <f>"20293.1"</f>
        <v>20293.1</v>
      </c>
      <c r="H2454" t="s">
        <v>1798</v>
      </c>
    </row>
    <row r="2455" spans="5:8" x14ac:dyDescent="0.2">
      <c r="G2455" t="str">
        <f>"20293.10"</f>
        <v>20293.10</v>
      </c>
      <c r="H2455" t="s">
        <v>1798</v>
      </c>
    </row>
    <row r="2456" spans="5:8" x14ac:dyDescent="0.2">
      <c r="F2456" t="str">
        <f>"20293.9"</f>
        <v>20293.9</v>
      </c>
      <c r="H2456" t="s">
        <v>1799</v>
      </c>
    </row>
    <row r="2457" spans="5:8" x14ac:dyDescent="0.2">
      <c r="G2457" t="str">
        <f>"20293.90"</f>
        <v>20293.90</v>
      </c>
      <c r="H2457" t="s">
        <v>1799</v>
      </c>
    </row>
    <row r="2458" spans="5:8" x14ac:dyDescent="0.2">
      <c r="E2458" t="str">
        <f>"20294"</f>
        <v>20294</v>
      </c>
      <c r="H2458" t="s">
        <v>1800</v>
      </c>
    </row>
    <row r="2459" spans="5:8" x14ac:dyDescent="0.2">
      <c r="F2459" t="str">
        <f>"20294.1"</f>
        <v>20294.1</v>
      </c>
      <c r="H2459" t="s">
        <v>1800</v>
      </c>
    </row>
    <row r="2460" spans="5:8" x14ac:dyDescent="0.2">
      <c r="G2460" t="str">
        <f>"20294.11"</f>
        <v>20294.11</v>
      </c>
      <c r="H2460" t="s">
        <v>1801</v>
      </c>
    </row>
    <row r="2461" spans="5:8" x14ac:dyDescent="0.2">
      <c r="G2461" t="str">
        <f>"20294.19"</f>
        <v>20294.19</v>
      </c>
      <c r="H2461" t="s">
        <v>1802</v>
      </c>
    </row>
    <row r="2462" spans="5:8" x14ac:dyDescent="0.2">
      <c r="F2462" t="str">
        <f>"20294.9"</f>
        <v>20294.9</v>
      </c>
      <c r="H2462" t="s">
        <v>1803</v>
      </c>
    </row>
    <row r="2463" spans="5:8" x14ac:dyDescent="0.2">
      <c r="G2463" t="str">
        <f>"20294.90"</f>
        <v>20294.90</v>
      </c>
      <c r="H2463" t="s">
        <v>1803</v>
      </c>
    </row>
    <row r="2464" spans="5:8" x14ac:dyDescent="0.2">
      <c r="E2464" t="str">
        <f>"20299"</f>
        <v>20299</v>
      </c>
      <c r="H2464" t="s">
        <v>1785</v>
      </c>
    </row>
    <row r="2465" spans="6:8" x14ac:dyDescent="0.2">
      <c r="F2465" t="str">
        <f>"20299.1"</f>
        <v>20299.1</v>
      </c>
      <c r="H2465" t="s">
        <v>1804</v>
      </c>
    </row>
    <row r="2466" spans="6:8" x14ac:dyDescent="0.2">
      <c r="G2466" t="str">
        <f>"20299.10"</f>
        <v>20299.10</v>
      </c>
      <c r="H2466" t="s">
        <v>1805</v>
      </c>
    </row>
    <row r="2467" spans="6:8" x14ac:dyDescent="0.2">
      <c r="F2467" t="str">
        <f>"20299.2"</f>
        <v>20299.2</v>
      </c>
      <c r="H2467" t="s">
        <v>1806</v>
      </c>
    </row>
    <row r="2468" spans="6:8" x14ac:dyDescent="0.2">
      <c r="G2468" t="str">
        <f>"20299.20"</f>
        <v>20299.20</v>
      </c>
      <c r="H2468" t="s">
        <v>1806</v>
      </c>
    </row>
    <row r="2469" spans="6:8" x14ac:dyDescent="0.2">
      <c r="F2469" t="str">
        <f>"20299.3"</f>
        <v>20299.3</v>
      </c>
      <c r="H2469" t="s">
        <v>1807</v>
      </c>
    </row>
    <row r="2470" spans="6:8" x14ac:dyDescent="0.2">
      <c r="G2470" t="str">
        <f>"20299.31"</f>
        <v>20299.31</v>
      </c>
      <c r="H2470" t="s">
        <v>1808</v>
      </c>
    </row>
    <row r="2471" spans="6:8" x14ac:dyDescent="0.2">
      <c r="G2471" t="str">
        <f>"20299.32"</f>
        <v>20299.32</v>
      </c>
      <c r="H2471" t="s">
        <v>1809</v>
      </c>
    </row>
    <row r="2472" spans="6:8" x14ac:dyDescent="0.2">
      <c r="G2472" t="str">
        <f>"20299.33"</f>
        <v>20299.33</v>
      </c>
      <c r="H2472" t="s">
        <v>1810</v>
      </c>
    </row>
    <row r="2473" spans="6:8" x14ac:dyDescent="0.2">
      <c r="F2473" t="str">
        <f>"20299.4"</f>
        <v>20299.4</v>
      </c>
      <c r="H2473" t="s">
        <v>1785</v>
      </c>
    </row>
    <row r="2474" spans="6:8" x14ac:dyDescent="0.2">
      <c r="G2474" t="str">
        <f>"20299.41"</f>
        <v>20299.41</v>
      </c>
      <c r="H2474" t="s">
        <v>1811</v>
      </c>
    </row>
    <row r="2475" spans="6:8" x14ac:dyDescent="0.2">
      <c r="G2475" t="str">
        <f>"20299.42"</f>
        <v>20299.42</v>
      </c>
      <c r="H2475" t="s">
        <v>1812</v>
      </c>
    </row>
    <row r="2476" spans="6:8" x14ac:dyDescent="0.2">
      <c r="G2476" t="str">
        <f>"20299.43"</f>
        <v>20299.43</v>
      </c>
      <c r="H2476" t="s">
        <v>1813</v>
      </c>
    </row>
    <row r="2477" spans="6:8" x14ac:dyDescent="0.2">
      <c r="G2477" t="str">
        <f>"20299.44"</f>
        <v>20299.44</v>
      </c>
      <c r="H2477" t="s">
        <v>1814</v>
      </c>
    </row>
    <row r="2478" spans="6:8" x14ac:dyDescent="0.2">
      <c r="G2478" t="str">
        <f>"20299.45"</f>
        <v>20299.45</v>
      </c>
      <c r="H2478" t="s">
        <v>1815</v>
      </c>
    </row>
    <row r="2479" spans="6:8" x14ac:dyDescent="0.2">
      <c r="G2479" t="str">
        <f>"20299.46"</f>
        <v>20299.46</v>
      </c>
      <c r="H2479" t="s">
        <v>1816</v>
      </c>
    </row>
    <row r="2480" spans="6:8" x14ac:dyDescent="0.2">
      <c r="G2480" t="str">
        <f>"20299.47"</f>
        <v>20299.47</v>
      </c>
      <c r="H2480" t="s">
        <v>1817</v>
      </c>
    </row>
    <row r="2481" spans="3:8" x14ac:dyDescent="0.2">
      <c r="G2481" t="str">
        <f>"20299.49"</f>
        <v>20299.49</v>
      </c>
      <c r="H2481" t="s">
        <v>1785</v>
      </c>
    </row>
    <row r="2482" spans="3:8" x14ac:dyDescent="0.2">
      <c r="F2482" t="str">
        <f>"20299.5"</f>
        <v>20299.5</v>
      </c>
      <c r="H2482" t="s">
        <v>1818</v>
      </c>
    </row>
    <row r="2483" spans="3:8" x14ac:dyDescent="0.2">
      <c r="G2483" t="str">
        <f>"20299.50"</f>
        <v>20299.50</v>
      </c>
      <c r="H2483" t="s">
        <v>1818</v>
      </c>
    </row>
    <row r="2484" spans="3:8" x14ac:dyDescent="0.2">
      <c r="F2484" t="str">
        <f>"20299.9"</f>
        <v>20299.9</v>
      </c>
      <c r="H2484" t="s">
        <v>1819</v>
      </c>
    </row>
    <row r="2485" spans="3:8" x14ac:dyDescent="0.2">
      <c r="G2485" t="str">
        <f>"20299.90"</f>
        <v>20299.90</v>
      </c>
      <c r="H2485" t="s">
        <v>1819</v>
      </c>
    </row>
    <row r="2486" spans="3:8" x14ac:dyDescent="0.2">
      <c r="C2486" t="str">
        <f>"203"</f>
        <v>203</v>
      </c>
      <c r="H2486" t="s">
        <v>1820</v>
      </c>
    </row>
    <row r="2487" spans="3:8" x14ac:dyDescent="0.2">
      <c r="D2487" t="str">
        <f>"2030"</f>
        <v>2030</v>
      </c>
      <c r="H2487" t="s">
        <v>1820</v>
      </c>
    </row>
    <row r="2488" spans="3:8" x14ac:dyDescent="0.2">
      <c r="E2488" t="str">
        <f>"20300"</f>
        <v>20300</v>
      </c>
      <c r="H2488" t="s">
        <v>1820</v>
      </c>
    </row>
    <row r="2489" spans="3:8" x14ac:dyDescent="0.2">
      <c r="F2489" t="str">
        <f>"20300.1"</f>
        <v>20300.1</v>
      </c>
      <c r="H2489" t="s">
        <v>1821</v>
      </c>
    </row>
    <row r="2490" spans="3:8" x14ac:dyDescent="0.2">
      <c r="G2490" t="str">
        <f>"20300.11"</f>
        <v>20300.11</v>
      </c>
      <c r="H2490" t="s">
        <v>1822</v>
      </c>
    </row>
    <row r="2491" spans="3:8" x14ac:dyDescent="0.2">
      <c r="G2491" t="str">
        <f>"20300.12"</f>
        <v>20300.12</v>
      </c>
      <c r="H2491" t="s">
        <v>1823</v>
      </c>
    </row>
    <row r="2492" spans="3:8" x14ac:dyDescent="0.2">
      <c r="G2492" t="str">
        <f>"20300.13"</f>
        <v>20300.13</v>
      </c>
      <c r="H2492" t="s">
        <v>1824</v>
      </c>
    </row>
    <row r="2493" spans="3:8" x14ac:dyDescent="0.2">
      <c r="G2493" t="str">
        <f>"20300.14"</f>
        <v>20300.14</v>
      </c>
      <c r="H2493" t="s">
        <v>1825</v>
      </c>
    </row>
    <row r="2494" spans="3:8" x14ac:dyDescent="0.2">
      <c r="F2494" t="str">
        <f>"20300.2"</f>
        <v>20300.2</v>
      </c>
      <c r="H2494" t="s">
        <v>1826</v>
      </c>
    </row>
    <row r="2495" spans="3:8" x14ac:dyDescent="0.2">
      <c r="G2495" t="str">
        <f>"20300.21"</f>
        <v>20300.21</v>
      </c>
      <c r="H2495" t="s">
        <v>1827</v>
      </c>
    </row>
    <row r="2496" spans="3:8" x14ac:dyDescent="0.2">
      <c r="G2496" t="str">
        <f>"20300.22"</f>
        <v>20300.22</v>
      </c>
      <c r="H2496" t="s">
        <v>1828</v>
      </c>
    </row>
    <row r="2497" spans="2:8" x14ac:dyDescent="0.2">
      <c r="G2497" t="str">
        <f>"20300.23"</f>
        <v>20300.23</v>
      </c>
      <c r="H2497" t="s">
        <v>1829</v>
      </c>
    </row>
    <row r="2498" spans="2:8" x14ac:dyDescent="0.2">
      <c r="G2498" t="str">
        <f>"20300.24"</f>
        <v>20300.24</v>
      </c>
      <c r="H2498" t="s">
        <v>1830</v>
      </c>
    </row>
    <row r="2499" spans="2:8" x14ac:dyDescent="0.2">
      <c r="F2499" t="str">
        <f>"20300.9"</f>
        <v>20300.9</v>
      </c>
      <c r="H2499" t="s">
        <v>1194</v>
      </c>
    </row>
    <row r="2500" spans="2:8" x14ac:dyDescent="0.2">
      <c r="G2500" t="str">
        <f>"20300.90"</f>
        <v>20300.90</v>
      </c>
      <c r="H2500" t="s">
        <v>1194</v>
      </c>
    </row>
    <row r="2501" spans="2:8" x14ac:dyDescent="0.2">
      <c r="B2501" t="str">
        <f>"21"</f>
        <v>21</v>
      </c>
      <c r="H2501" t="s">
        <v>1831</v>
      </c>
    </row>
    <row r="2502" spans="2:8" x14ac:dyDescent="0.2">
      <c r="C2502" t="str">
        <f>"210"</f>
        <v>210</v>
      </c>
      <c r="H2502" t="s">
        <v>1831</v>
      </c>
    </row>
    <row r="2503" spans="2:8" x14ac:dyDescent="0.2">
      <c r="D2503" t="str">
        <f>"2100"</f>
        <v>2100</v>
      </c>
      <c r="H2503" t="s">
        <v>1831</v>
      </c>
    </row>
    <row r="2504" spans="2:8" x14ac:dyDescent="0.2">
      <c r="E2504" t="str">
        <f>"21001"</f>
        <v>21001</v>
      </c>
      <c r="H2504" t="s">
        <v>1832</v>
      </c>
    </row>
    <row r="2505" spans="2:8" x14ac:dyDescent="0.2">
      <c r="F2505" t="str">
        <f>"21001.1"</f>
        <v>21001.1</v>
      </c>
      <c r="H2505" t="s">
        <v>1833</v>
      </c>
    </row>
    <row r="2506" spans="2:8" x14ac:dyDescent="0.2">
      <c r="G2506" t="str">
        <f>"21001.10"</f>
        <v>21001.10</v>
      </c>
      <c r="H2506" t="s">
        <v>1833</v>
      </c>
    </row>
    <row r="2507" spans="2:8" x14ac:dyDescent="0.2">
      <c r="F2507" t="str">
        <f>"21001.2"</f>
        <v>21001.2</v>
      </c>
      <c r="H2507" t="s">
        <v>1834</v>
      </c>
    </row>
    <row r="2508" spans="2:8" x14ac:dyDescent="0.2">
      <c r="G2508" t="str">
        <f>"21001.20"</f>
        <v>21001.20</v>
      </c>
      <c r="H2508" t="s">
        <v>1834</v>
      </c>
    </row>
    <row r="2509" spans="2:8" x14ac:dyDescent="0.2">
      <c r="F2509" t="str">
        <f>"21001.3"</f>
        <v>21001.3</v>
      </c>
      <c r="H2509" t="s">
        <v>1835</v>
      </c>
    </row>
    <row r="2510" spans="2:8" x14ac:dyDescent="0.2">
      <c r="G2510" t="str">
        <f>"21001.31"</f>
        <v>21001.31</v>
      </c>
      <c r="H2510" t="s">
        <v>1836</v>
      </c>
    </row>
    <row r="2511" spans="2:8" x14ac:dyDescent="0.2">
      <c r="G2511" t="str">
        <f>"21001.32"</f>
        <v>21001.32</v>
      </c>
      <c r="H2511" t="s">
        <v>1837</v>
      </c>
    </row>
    <row r="2512" spans="2:8" x14ac:dyDescent="0.2">
      <c r="F2512" t="str">
        <f>"21001.4"</f>
        <v>21001.4</v>
      </c>
      <c r="H2512" t="s">
        <v>1838</v>
      </c>
    </row>
    <row r="2513" spans="6:8" x14ac:dyDescent="0.2">
      <c r="G2513" t="str">
        <f>"21001.40"</f>
        <v>21001.40</v>
      </c>
      <c r="H2513" t="s">
        <v>1838</v>
      </c>
    </row>
    <row r="2514" spans="6:8" x14ac:dyDescent="0.2">
      <c r="F2514" t="str">
        <f>"21001.5"</f>
        <v>21001.5</v>
      </c>
      <c r="H2514" t="s">
        <v>1839</v>
      </c>
    </row>
    <row r="2515" spans="6:8" x14ac:dyDescent="0.2">
      <c r="G2515" t="str">
        <f>"21001.51"</f>
        <v>21001.51</v>
      </c>
      <c r="H2515" t="s">
        <v>1840</v>
      </c>
    </row>
    <row r="2516" spans="6:8" x14ac:dyDescent="0.2">
      <c r="G2516" t="str">
        <f>"21001.52"</f>
        <v>21001.52</v>
      </c>
      <c r="H2516" t="s">
        <v>1841</v>
      </c>
    </row>
    <row r="2517" spans="6:8" x14ac:dyDescent="0.2">
      <c r="G2517" t="str">
        <f>"21001.53"</f>
        <v>21001.53</v>
      </c>
      <c r="H2517" t="s">
        <v>1842</v>
      </c>
    </row>
    <row r="2518" spans="6:8" x14ac:dyDescent="0.2">
      <c r="G2518" t="str">
        <f>"21001.54"</f>
        <v>21001.54</v>
      </c>
      <c r="H2518" t="s">
        <v>1843</v>
      </c>
    </row>
    <row r="2519" spans="6:8" x14ac:dyDescent="0.2">
      <c r="F2519" t="str">
        <f>"21001.6"</f>
        <v>21001.6</v>
      </c>
      <c r="H2519" t="s">
        <v>1844</v>
      </c>
    </row>
    <row r="2520" spans="6:8" x14ac:dyDescent="0.2">
      <c r="G2520" t="str">
        <f>"21001.60"</f>
        <v>21001.60</v>
      </c>
      <c r="H2520" t="s">
        <v>1844</v>
      </c>
    </row>
    <row r="2521" spans="6:8" x14ac:dyDescent="0.2">
      <c r="F2521" t="str">
        <f>"21001.7"</f>
        <v>21001.7</v>
      </c>
      <c r="H2521" t="s">
        <v>1845</v>
      </c>
    </row>
    <row r="2522" spans="6:8" x14ac:dyDescent="0.2">
      <c r="G2522" t="str">
        <f>"21001.71"</f>
        <v>21001.71</v>
      </c>
      <c r="H2522" t="s">
        <v>1846</v>
      </c>
    </row>
    <row r="2523" spans="6:8" x14ac:dyDescent="0.2">
      <c r="G2523" t="str">
        <f>"21001.72"</f>
        <v>21001.72</v>
      </c>
      <c r="H2523" t="s">
        <v>1847</v>
      </c>
    </row>
    <row r="2524" spans="6:8" x14ac:dyDescent="0.2">
      <c r="G2524" t="str">
        <f>"21001.73"</f>
        <v>21001.73</v>
      </c>
      <c r="H2524" t="s">
        <v>1848</v>
      </c>
    </row>
    <row r="2525" spans="6:8" x14ac:dyDescent="0.2">
      <c r="F2525" t="str">
        <f>"21001.8"</f>
        <v>21001.8</v>
      </c>
      <c r="H2525" t="s">
        <v>1849</v>
      </c>
    </row>
    <row r="2526" spans="6:8" x14ac:dyDescent="0.2">
      <c r="G2526" t="str">
        <f>"21001.81"</f>
        <v>21001.81</v>
      </c>
      <c r="H2526" t="s">
        <v>1850</v>
      </c>
    </row>
    <row r="2527" spans="6:8" x14ac:dyDescent="0.2">
      <c r="G2527" t="str">
        <f>"21001.82"</f>
        <v>21001.82</v>
      </c>
      <c r="H2527" t="s">
        <v>1851</v>
      </c>
    </row>
    <row r="2528" spans="6:8" x14ac:dyDescent="0.2">
      <c r="G2528" t="str">
        <f>"21001.83"</f>
        <v>21001.83</v>
      </c>
      <c r="H2528" t="s">
        <v>1852</v>
      </c>
    </row>
    <row r="2529" spans="2:8" x14ac:dyDescent="0.2">
      <c r="G2529" t="str">
        <f>"21001.84"</f>
        <v>21001.84</v>
      </c>
      <c r="H2529" t="s">
        <v>1853</v>
      </c>
    </row>
    <row r="2530" spans="2:8" x14ac:dyDescent="0.2">
      <c r="F2530" t="str">
        <f>"21001.9"</f>
        <v>21001.9</v>
      </c>
      <c r="H2530" t="s">
        <v>1854</v>
      </c>
    </row>
    <row r="2531" spans="2:8" x14ac:dyDescent="0.2">
      <c r="G2531" t="str">
        <f>"21001.90"</f>
        <v>21001.90</v>
      </c>
      <c r="H2531" t="s">
        <v>1854</v>
      </c>
    </row>
    <row r="2532" spans="2:8" x14ac:dyDescent="0.2">
      <c r="E2532" t="str">
        <f>"21002"</f>
        <v>21002</v>
      </c>
      <c r="H2532" t="s">
        <v>1855</v>
      </c>
    </row>
    <row r="2533" spans="2:8" x14ac:dyDescent="0.2">
      <c r="F2533" t="str">
        <f>"21002.1"</f>
        <v>21002.1</v>
      </c>
      <c r="H2533" t="s">
        <v>1856</v>
      </c>
    </row>
    <row r="2534" spans="2:8" x14ac:dyDescent="0.2">
      <c r="G2534" t="str">
        <f>"21002.10"</f>
        <v>21002.10</v>
      </c>
      <c r="H2534" t="s">
        <v>1856</v>
      </c>
    </row>
    <row r="2535" spans="2:8" x14ac:dyDescent="0.2">
      <c r="F2535" t="str">
        <f>"21002.9"</f>
        <v>21002.9</v>
      </c>
      <c r="H2535" t="s">
        <v>1857</v>
      </c>
    </row>
    <row r="2536" spans="2:8" x14ac:dyDescent="0.2">
      <c r="G2536" t="str">
        <f>"21002.90"</f>
        <v>21002.90</v>
      </c>
      <c r="H2536" t="s">
        <v>1857</v>
      </c>
    </row>
    <row r="2537" spans="2:8" x14ac:dyDescent="0.2">
      <c r="B2537" t="str">
        <f>"22"</f>
        <v>22</v>
      </c>
      <c r="H2537" t="s">
        <v>1858</v>
      </c>
    </row>
    <row r="2538" spans="2:8" x14ac:dyDescent="0.2">
      <c r="C2538" t="str">
        <f>"221"</f>
        <v>221</v>
      </c>
      <c r="H2538" t="s">
        <v>1859</v>
      </c>
    </row>
    <row r="2539" spans="2:8" x14ac:dyDescent="0.2">
      <c r="D2539" t="str">
        <f>"2211"</f>
        <v>2211</v>
      </c>
      <c r="H2539" t="s">
        <v>1860</v>
      </c>
    </row>
    <row r="2540" spans="2:8" x14ac:dyDescent="0.2">
      <c r="E2540" t="str">
        <f>"22111"</f>
        <v>22111</v>
      </c>
      <c r="H2540" t="s">
        <v>1861</v>
      </c>
    </row>
    <row r="2541" spans="2:8" x14ac:dyDescent="0.2">
      <c r="F2541" t="str">
        <f>"22111.1"</f>
        <v>22111.1</v>
      </c>
      <c r="H2541" t="s">
        <v>1862</v>
      </c>
    </row>
    <row r="2542" spans="2:8" x14ac:dyDescent="0.2">
      <c r="G2542" t="str">
        <f>"22111.11"</f>
        <v>22111.11</v>
      </c>
      <c r="H2542" t="s">
        <v>1863</v>
      </c>
    </row>
    <row r="2543" spans="2:8" x14ac:dyDescent="0.2">
      <c r="G2543" t="str">
        <f>"22111.12"</f>
        <v>22111.12</v>
      </c>
      <c r="H2543" t="s">
        <v>1864</v>
      </c>
    </row>
    <row r="2544" spans="2:8" x14ac:dyDescent="0.2">
      <c r="G2544" t="str">
        <f>"22111.13"</f>
        <v>22111.13</v>
      </c>
      <c r="H2544" t="s">
        <v>1865</v>
      </c>
    </row>
    <row r="2545" spans="4:8" x14ac:dyDescent="0.2">
      <c r="G2545" t="str">
        <f>"22111.14"</f>
        <v>22111.14</v>
      </c>
      <c r="H2545" t="s">
        <v>1866</v>
      </c>
    </row>
    <row r="2546" spans="4:8" x14ac:dyDescent="0.2">
      <c r="G2546" t="str">
        <f>"22111.15"</f>
        <v>22111.15</v>
      </c>
      <c r="H2546" t="s">
        <v>1867</v>
      </c>
    </row>
    <row r="2547" spans="4:8" x14ac:dyDescent="0.2">
      <c r="F2547" t="str">
        <f>"22111.9"</f>
        <v>22111.9</v>
      </c>
      <c r="H2547" t="s">
        <v>1868</v>
      </c>
    </row>
    <row r="2548" spans="4:8" x14ac:dyDescent="0.2">
      <c r="G2548" t="str">
        <f>"22111.90"</f>
        <v>22111.90</v>
      </c>
      <c r="H2548" t="s">
        <v>1868</v>
      </c>
    </row>
    <row r="2549" spans="4:8" x14ac:dyDescent="0.2">
      <c r="E2549" t="str">
        <f>"22112"</f>
        <v>22112</v>
      </c>
      <c r="H2549" t="s">
        <v>1869</v>
      </c>
    </row>
    <row r="2550" spans="4:8" x14ac:dyDescent="0.2">
      <c r="F2550" t="str">
        <f>"22112.1"</f>
        <v>22112.1</v>
      </c>
      <c r="H2550" t="s">
        <v>1870</v>
      </c>
    </row>
    <row r="2551" spans="4:8" x14ac:dyDescent="0.2">
      <c r="G2551" t="str">
        <f>"22112.11"</f>
        <v>22112.11</v>
      </c>
      <c r="H2551" t="s">
        <v>1871</v>
      </c>
    </row>
    <row r="2552" spans="4:8" x14ac:dyDescent="0.2">
      <c r="G2552" t="str">
        <f>"22112.12"</f>
        <v>22112.12</v>
      </c>
      <c r="H2552" t="s">
        <v>1872</v>
      </c>
    </row>
    <row r="2553" spans="4:8" x14ac:dyDescent="0.2">
      <c r="F2553" t="str">
        <f>"22112.2"</f>
        <v>22112.2</v>
      </c>
      <c r="H2553" t="s">
        <v>1873</v>
      </c>
    </row>
    <row r="2554" spans="4:8" x14ac:dyDescent="0.2">
      <c r="G2554" t="str">
        <f>"22112.20"</f>
        <v>22112.20</v>
      </c>
      <c r="H2554" t="s">
        <v>1873</v>
      </c>
    </row>
    <row r="2555" spans="4:8" x14ac:dyDescent="0.2">
      <c r="F2555" t="str">
        <f>"22112.9"</f>
        <v>22112.9</v>
      </c>
      <c r="H2555" t="s">
        <v>1874</v>
      </c>
    </row>
    <row r="2556" spans="4:8" x14ac:dyDescent="0.2">
      <c r="G2556" t="str">
        <f>"22112.90"</f>
        <v>22112.90</v>
      </c>
      <c r="H2556" t="s">
        <v>1874</v>
      </c>
    </row>
    <row r="2557" spans="4:8" x14ac:dyDescent="0.2">
      <c r="D2557" t="str">
        <f>"2219"</f>
        <v>2219</v>
      </c>
      <c r="H2557" t="s">
        <v>1875</v>
      </c>
    </row>
    <row r="2558" spans="4:8" x14ac:dyDescent="0.2">
      <c r="E2558" t="str">
        <f>"22191"</f>
        <v>22191</v>
      </c>
      <c r="H2558" t="s">
        <v>1876</v>
      </c>
    </row>
    <row r="2559" spans="4:8" x14ac:dyDescent="0.2">
      <c r="F2559" t="str">
        <f>"22191.1"</f>
        <v>22191.1</v>
      </c>
      <c r="H2559" t="s">
        <v>1877</v>
      </c>
    </row>
    <row r="2560" spans="4:8" x14ac:dyDescent="0.2">
      <c r="G2560" t="str">
        <f>"22191.10"</f>
        <v>22191.10</v>
      </c>
      <c r="H2560" t="s">
        <v>1877</v>
      </c>
    </row>
    <row r="2561" spans="5:8" x14ac:dyDescent="0.2">
      <c r="F2561" t="str">
        <f>"22191.2"</f>
        <v>22191.2</v>
      </c>
      <c r="H2561" t="s">
        <v>1878</v>
      </c>
    </row>
    <row r="2562" spans="5:8" x14ac:dyDescent="0.2">
      <c r="G2562" t="str">
        <f>"22191.20"</f>
        <v>22191.20</v>
      </c>
      <c r="H2562" t="s">
        <v>1878</v>
      </c>
    </row>
    <row r="2563" spans="5:8" x14ac:dyDescent="0.2">
      <c r="F2563" t="str">
        <f>"22191.3"</f>
        <v>22191.3</v>
      </c>
      <c r="H2563" t="s">
        <v>1879</v>
      </c>
    </row>
    <row r="2564" spans="5:8" x14ac:dyDescent="0.2">
      <c r="G2564" t="str">
        <f>"22191.30"</f>
        <v>22191.30</v>
      </c>
      <c r="H2564" t="s">
        <v>1879</v>
      </c>
    </row>
    <row r="2565" spans="5:8" x14ac:dyDescent="0.2">
      <c r="F2565" t="str">
        <f>"22191.9"</f>
        <v>22191.9</v>
      </c>
      <c r="H2565" t="s">
        <v>1880</v>
      </c>
    </row>
    <row r="2566" spans="5:8" x14ac:dyDescent="0.2">
      <c r="G2566" t="str">
        <f>"22191.90"</f>
        <v>22191.90</v>
      </c>
      <c r="H2566" t="s">
        <v>1880</v>
      </c>
    </row>
    <row r="2567" spans="5:8" x14ac:dyDescent="0.2">
      <c r="E2567" t="str">
        <f>"22192"</f>
        <v>22192</v>
      </c>
      <c r="H2567" t="s">
        <v>1881</v>
      </c>
    </row>
    <row r="2568" spans="5:8" x14ac:dyDescent="0.2">
      <c r="F2568" t="str">
        <f>"22192.1"</f>
        <v>22192.1</v>
      </c>
      <c r="H2568" t="s">
        <v>1881</v>
      </c>
    </row>
    <row r="2569" spans="5:8" x14ac:dyDescent="0.2">
      <c r="G2569" t="str">
        <f>"22192.10"</f>
        <v>22192.10</v>
      </c>
      <c r="H2569" t="s">
        <v>1881</v>
      </c>
    </row>
    <row r="2570" spans="5:8" x14ac:dyDescent="0.2">
      <c r="F2570" t="str">
        <f>"22192.9"</f>
        <v>22192.9</v>
      </c>
      <c r="H2570" t="s">
        <v>1882</v>
      </c>
    </row>
    <row r="2571" spans="5:8" x14ac:dyDescent="0.2">
      <c r="G2571" t="str">
        <f>"22192.90"</f>
        <v>22192.90</v>
      </c>
      <c r="H2571" t="s">
        <v>1882</v>
      </c>
    </row>
    <row r="2572" spans="5:8" x14ac:dyDescent="0.2">
      <c r="E2572" t="str">
        <f>"22193"</f>
        <v>22193</v>
      </c>
      <c r="H2572" t="s">
        <v>1883</v>
      </c>
    </row>
    <row r="2573" spans="5:8" x14ac:dyDescent="0.2">
      <c r="F2573" t="str">
        <f>"22193.1"</f>
        <v>22193.1</v>
      </c>
      <c r="H2573" t="s">
        <v>1884</v>
      </c>
    </row>
    <row r="2574" spans="5:8" x14ac:dyDescent="0.2">
      <c r="G2574" t="str">
        <f>"22193.10"</f>
        <v>22193.10</v>
      </c>
      <c r="H2574" t="s">
        <v>1884</v>
      </c>
    </row>
    <row r="2575" spans="5:8" x14ac:dyDescent="0.2">
      <c r="F2575" t="str">
        <f>"22193.9"</f>
        <v>22193.9</v>
      </c>
      <c r="H2575" t="s">
        <v>1885</v>
      </c>
    </row>
    <row r="2576" spans="5:8" x14ac:dyDescent="0.2">
      <c r="G2576" t="str">
        <f>"22193.90"</f>
        <v>22193.90</v>
      </c>
      <c r="H2576" t="s">
        <v>1885</v>
      </c>
    </row>
    <row r="2577" spans="5:8" x14ac:dyDescent="0.2">
      <c r="E2577" t="str">
        <f>"22199"</f>
        <v>22199</v>
      </c>
      <c r="H2577" t="s">
        <v>1886</v>
      </c>
    </row>
    <row r="2578" spans="5:8" x14ac:dyDescent="0.2">
      <c r="F2578" t="str">
        <f>"22199.1"</f>
        <v>22199.1</v>
      </c>
      <c r="H2578" t="s">
        <v>1887</v>
      </c>
    </row>
    <row r="2579" spans="5:8" x14ac:dyDescent="0.2">
      <c r="G2579" t="str">
        <f>"22199.10"</f>
        <v>22199.10</v>
      </c>
      <c r="H2579" t="s">
        <v>1887</v>
      </c>
    </row>
    <row r="2580" spans="5:8" x14ac:dyDescent="0.2">
      <c r="F2580" t="str">
        <f>"22199.2"</f>
        <v>22199.2</v>
      </c>
      <c r="H2580" t="s">
        <v>1888</v>
      </c>
    </row>
    <row r="2581" spans="5:8" x14ac:dyDescent="0.2">
      <c r="G2581" t="str">
        <f>"22199.20"</f>
        <v>22199.20</v>
      </c>
      <c r="H2581" t="s">
        <v>1888</v>
      </c>
    </row>
    <row r="2582" spans="5:8" x14ac:dyDescent="0.2">
      <c r="F2582" t="str">
        <f>"22199.3"</f>
        <v>22199.3</v>
      </c>
      <c r="H2582" t="s">
        <v>1889</v>
      </c>
    </row>
    <row r="2583" spans="5:8" x14ac:dyDescent="0.2">
      <c r="G2583" t="str">
        <f>"22199.30"</f>
        <v>22199.30</v>
      </c>
      <c r="H2583" t="s">
        <v>1889</v>
      </c>
    </row>
    <row r="2584" spans="5:8" x14ac:dyDescent="0.2">
      <c r="F2584" t="str">
        <f>"22199.4"</f>
        <v>22199.4</v>
      </c>
      <c r="H2584" t="s">
        <v>1890</v>
      </c>
    </row>
    <row r="2585" spans="5:8" x14ac:dyDescent="0.2">
      <c r="G2585" t="str">
        <f>"22199.40"</f>
        <v>22199.40</v>
      </c>
      <c r="H2585" t="s">
        <v>1890</v>
      </c>
    </row>
    <row r="2586" spans="5:8" x14ac:dyDescent="0.2">
      <c r="F2586" t="str">
        <f>"22199.5"</f>
        <v>22199.5</v>
      </c>
      <c r="H2586" t="s">
        <v>1891</v>
      </c>
    </row>
    <row r="2587" spans="5:8" x14ac:dyDescent="0.2">
      <c r="G2587" t="str">
        <f>"22199.50"</f>
        <v>22199.50</v>
      </c>
      <c r="H2587" t="s">
        <v>1891</v>
      </c>
    </row>
    <row r="2588" spans="5:8" x14ac:dyDescent="0.2">
      <c r="F2588" t="str">
        <f>"22199.6"</f>
        <v>22199.6</v>
      </c>
      <c r="H2588" t="s">
        <v>1892</v>
      </c>
    </row>
    <row r="2589" spans="5:8" x14ac:dyDescent="0.2">
      <c r="G2589" t="str">
        <f>"22199.61"</f>
        <v>22199.61</v>
      </c>
      <c r="H2589" t="s">
        <v>1893</v>
      </c>
    </row>
    <row r="2590" spans="5:8" x14ac:dyDescent="0.2">
      <c r="G2590" t="str">
        <f>"22199.69"</f>
        <v>22199.69</v>
      </c>
      <c r="H2590" t="s">
        <v>1894</v>
      </c>
    </row>
    <row r="2591" spans="5:8" x14ac:dyDescent="0.2">
      <c r="F2591" t="str">
        <f>"22199.9"</f>
        <v>22199.9</v>
      </c>
      <c r="H2591" t="s">
        <v>1895</v>
      </c>
    </row>
    <row r="2592" spans="5:8" x14ac:dyDescent="0.2">
      <c r="G2592" t="str">
        <f>"22199.90"</f>
        <v>22199.90</v>
      </c>
      <c r="H2592" t="s">
        <v>1895</v>
      </c>
    </row>
    <row r="2593" spans="3:8" x14ac:dyDescent="0.2">
      <c r="C2593" t="str">
        <f>"222"</f>
        <v>222</v>
      </c>
      <c r="H2593" t="s">
        <v>1896</v>
      </c>
    </row>
    <row r="2594" spans="3:8" x14ac:dyDescent="0.2">
      <c r="D2594" t="str">
        <f>"2221"</f>
        <v>2221</v>
      </c>
      <c r="H2594" t="s">
        <v>1897</v>
      </c>
    </row>
    <row r="2595" spans="3:8" x14ac:dyDescent="0.2">
      <c r="E2595" t="str">
        <f>"22210"</f>
        <v>22210</v>
      </c>
      <c r="H2595" t="s">
        <v>1897</v>
      </c>
    </row>
    <row r="2596" spans="3:8" x14ac:dyDescent="0.2">
      <c r="F2596" t="str">
        <f>"22210.1"</f>
        <v>22210.1</v>
      </c>
      <c r="H2596" t="s">
        <v>1898</v>
      </c>
    </row>
    <row r="2597" spans="3:8" x14ac:dyDescent="0.2">
      <c r="G2597" t="str">
        <f>"22210.11"</f>
        <v>22210.11</v>
      </c>
      <c r="H2597" t="s">
        <v>1899</v>
      </c>
    </row>
    <row r="2598" spans="3:8" x14ac:dyDescent="0.2">
      <c r="G2598" t="str">
        <f>"22210.12"</f>
        <v>22210.12</v>
      </c>
      <c r="H2598" t="s">
        <v>1900</v>
      </c>
    </row>
    <row r="2599" spans="3:8" x14ac:dyDescent="0.2">
      <c r="G2599" t="str">
        <f>"22210.13"</f>
        <v>22210.13</v>
      </c>
      <c r="H2599" t="s">
        <v>1901</v>
      </c>
    </row>
    <row r="2600" spans="3:8" x14ac:dyDescent="0.2">
      <c r="G2600" t="str">
        <f>"22210.14"</f>
        <v>22210.14</v>
      </c>
      <c r="H2600" t="s">
        <v>1902</v>
      </c>
    </row>
    <row r="2601" spans="3:8" x14ac:dyDescent="0.2">
      <c r="G2601" t="str">
        <f>"22210.15"</f>
        <v>22210.15</v>
      </c>
      <c r="H2601" t="s">
        <v>1903</v>
      </c>
    </row>
    <row r="2602" spans="3:8" x14ac:dyDescent="0.2">
      <c r="G2602" t="str">
        <f>"22210.19"</f>
        <v>22210.19</v>
      </c>
      <c r="H2602" t="s">
        <v>1904</v>
      </c>
    </row>
    <row r="2603" spans="3:8" x14ac:dyDescent="0.2">
      <c r="F2603" t="str">
        <f>"22210.2"</f>
        <v>22210.2</v>
      </c>
      <c r="H2603" t="s">
        <v>1905</v>
      </c>
    </row>
    <row r="2604" spans="3:8" x14ac:dyDescent="0.2">
      <c r="G2604" t="str">
        <f>"22210.20"</f>
        <v>22210.20</v>
      </c>
      <c r="H2604" t="s">
        <v>1906</v>
      </c>
    </row>
    <row r="2605" spans="3:8" x14ac:dyDescent="0.2">
      <c r="F2605" t="str">
        <f>"22210.9"</f>
        <v>22210.9</v>
      </c>
      <c r="H2605" t="s">
        <v>1907</v>
      </c>
    </row>
    <row r="2606" spans="3:8" x14ac:dyDescent="0.2">
      <c r="G2606" t="str">
        <f>"22210.90"</f>
        <v>22210.90</v>
      </c>
      <c r="H2606" t="s">
        <v>1907</v>
      </c>
    </row>
    <row r="2607" spans="3:8" x14ac:dyDescent="0.2">
      <c r="D2607" t="str">
        <f>"2222"</f>
        <v>2222</v>
      </c>
      <c r="H2607" t="s">
        <v>1908</v>
      </c>
    </row>
    <row r="2608" spans="3:8" x14ac:dyDescent="0.2">
      <c r="E2608" t="str">
        <f>"22220"</f>
        <v>22220</v>
      </c>
      <c r="H2608" t="s">
        <v>1908</v>
      </c>
    </row>
    <row r="2609" spans="4:8" x14ac:dyDescent="0.2">
      <c r="F2609" t="str">
        <f>"22220.1"</f>
        <v>22220.1</v>
      </c>
      <c r="H2609" t="s">
        <v>1908</v>
      </c>
    </row>
    <row r="2610" spans="4:8" x14ac:dyDescent="0.2">
      <c r="G2610" t="str">
        <f>"22220.11"</f>
        <v>22220.11</v>
      </c>
      <c r="H2610" t="s">
        <v>1909</v>
      </c>
    </row>
    <row r="2611" spans="4:8" x14ac:dyDescent="0.2">
      <c r="G2611" t="str">
        <f>"22220.12"</f>
        <v>22220.12</v>
      </c>
      <c r="H2611" t="s">
        <v>1910</v>
      </c>
    </row>
    <row r="2612" spans="4:8" x14ac:dyDescent="0.2">
      <c r="G2612" t="str">
        <f>"22220.13"</f>
        <v>22220.13</v>
      </c>
      <c r="H2612" t="s">
        <v>1911</v>
      </c>
    </row>
    <row r="2613" spans="4:8" x14ac:dyDescent="0.2">
      <c r="G2613" t="str">
        <f>"22220.19"</f>
        <v>22220.19</v>
      </c>
      <c r="H2613" t="s">
        <v>1912</v>
      </c>
    </row>
    <row r="2614" spans="4:8" x14ac:dyDescent="0.2">
      <c r="F2614" t="str">
        <f>"22220.9"</f>
        <v>22220.9</v>
      </c>
      <c r="H2614" t="s">
        <v>1913</v>
      </c>
    </row>
    <row r="2615" spans="4:8" x14ac:dyDescent="0.2">
      <c r="G2615" t="str">
        <f>"22220.90"</f>
        <v>22220.90</v>
      </c>
      <c r="H2615" t="s">
        <v>1913</v>
      </c>
    </row>
    <row r="2616" spans="4:8" x14ac:dyDescent="0.2">
      <c r="D2616" t="str">
        <f>"2223"</f>
        <v>2223</v>
      </c>
      <c r="H2616" t="s">
        <v>1914</v>
      </c>
    </row>
    <row r="2617" spans="4:8" x14ac:dyDescent="0.2">
      <c r="E2617" t="str">
        <f>"22230"</f>
        <v>22230</v>
      </c>
      <c r="H2617" t="s">
        <v>1914</v>
      </c>
    </row>
    <row r="2618" spans="4:8" x14ac:dyDescent="0.2">
      <c r="F2618" t="str">
        <f>"22230.1"</f>
        <v>22230.1</v>
      </c>
      <c r="H2618" t="s">
        <v>1915</v>
      </c>
    </row>
    <row r="2619" spans="4:8" x14ac:dyDescent="0.2">
      <c r="G2619" t="str">
        <f>"22230.10"</f>
        <v>22230.10</v>
      </c>
      <c r="H2619" t="s">
        <v>1915</v>
      </c>
    </row>
    <row r="2620" spans="4:8" x14ac:dyDescent="0.2">
      <c r="F2620" t="str">
        <f>"22230.2"</f>
        <v>22230.2</v>
      </c>
      <c r="H2620" t="s">
        <v>1916</v>
      </c>
    </row>
    <row r="2621" spans="4:8" x14ac:dyDescent="0.2">
      <c r="G2621" t="str">
        <f>"22230.21"</f>
        <v>22230.21</v>
      </c>
      <c r="H2621" t="s">
        <v>1917</v>
      </c>
    </row>
    <row r="2622" spans="4:8" x14ac:dyDescent="0.2">
      <c r="G2622" t="str">
        <f>"22230.29"</f>
        <v>22230.29</v>
      </c>
      <c r="H2622" t="s">
        <v>1918</v>
      </c>
    </row>
    <row r="2623" spans="4:8" x14ac:dyDescent="0.2">
      <c r="F2623" t="str">
        <f>"22230.3"</f>
        <v>22230.3</v>
      </c>
      <c r="H2623" t="s">
        <v>1919</v>
      </c>
    </row>
    <row r="2624" spans="4:8" x14ac:dyDescent="0.2">
      <c r="G2624" t="str">
        <f>"22230.30"</f>
        <v>22230.30</v>
      </c>
      <c r="H2624" t="s">
        <v>1919</v>
      </c>
    </row>
    <row r="2625" spans="4:8" x14ac:dyDescent="0.2">
      <c r="F2625" t="str">
        <f>"22230.4"</f>
        <v>22230.4</v>
      </c>
      <c r="H2625" t="s">
        <v>1920</v>
      </c>
    </row>
    <row r="2626" spans="4:8" x14ac:dyDescent="0.2">
      <c r="G2626" t="str">
        <f>"22230.41"</f>
        <v>22230.41</v>
      </c>
      <c r="H2626" t="s">
        <v>1921</v>
      </c>
    </row>
    <row r="2627" spans="4:8" x14ac:dyDescent="0.2">
      <c r="G2627" t="str">
        <f>"22230.42"</f>
        <v>22230.42</v>
      </c>
      <c r="H2627" t="s">
        <v>1922</v>
      </c>
    </row>
    <row r="2628" spans="4:8" x14ac:dyDescent="0.2">
      <c r="F2628" t="str">
        <f>"22230.9"</f>
        <v>22230.9</v>
      </c>
      <c r="H2628" t="s">
        <v>1923</v>
      </c>
    </row>
    <row r="2629" spans="4:8" x14ac:dyDescent="0.2">
      <c r="G2629" t="str">
        <f>"22230.90"</f>
        <v>22230.90</v>
      </c>
      <c r="H2629" t="s">
        <v>1923</v>
      </c>
    </row>
    <row r="2630" spans="4:8" x14ac:dyDescent="0.2">
      <c r="D2630" t="str">
        <f>"2229"</f>
        <v>2229</v>
      </c>
      <c r="H2630" t="s">
        <v>1924</v>
      </c>
    </row>
    <row r="2631" spans="4:8" x14ac:dyDescent="0.2">
      <c r="E2631" t="str">
        <f>"22291"</f>
        <v>22291</v>
      </c>
      <c r="H2631" t="s">
        <v>1925</v>
      </c>
    </row>
    <row r="2632" spans="4:8" x14ac:dyDescent="0.2">
      <c r="F2632" t="str">
        <f>"22291.1"</f>
        <v>22291.1</v>
      </c>
      <c r="H2632" t="s">
        <v>1926</v>
      </c>
    </row>
    <row r="2633" spans="4:8" x14ac:dyDescent="0.2">
      <c r="G2633" t="str">
        <f>"22291.10"</f>
        <v>22291.10</v>
      </c>
      <c r="H2633" t="s">
        <v>1926</v>
      </c>
    </row>
    <row r="2634" spans="4:8" x14ac:dyDescent="0.2">
      <c r="F2634" t="str">
        <f>"22291.9"</f>
        <v>22291.9</v>
      </c>
      <c r="H2634" t="s">
        <v>1927</v>
      </c>
    </row>
    <row r="2635" spans="4:8" x14ac:dyDescent="0.2">
      <c r="G2635" t="str">
        <f>"22291.90"</f>
        <v>22291.90</v>
      </c>
      <c r="H2635" t="s">
        <v>1927</v>
      </c>
    </row>
    <row r="2636" spans="4:8" x14ac:dyDescent="0.2">
      <c r="E2636" t="str">
        <f>"22292"</f>
        <v>22292</v>
      </c>
      <c r="H2636" t="s">
        <v>1928</v>
      </c>
    </row>
    <row r="2637" spans="4:8" x14ac:dyDescent="0.2">
      <c r="F2637" t="str">
        <f>"22292.1"</f>
        <v>22292.1</v>
      </c>
      <c r="H2637" t="s">
        <v>1928</v>
      </c>
    </row>
    <row r="2638" spans="4:8" x14ac:dyDescent="0.2">
      <c r="G2638" t="str">
        <f>"22292.11"</f>
        <v>22292.11</v>
      </c>
      <c r="H2638" t="s">
        <v>1929</v>
      </c>
    </row>
    <row r="2639" spans="4:8" x14ac:dyDescent="0.2">
      <c r="G2639" t="str">
        <f>"22292.12"</f>
        <v>22292.12</v>
      </c>
      <c r="H2639" t="s">
        <v>1930</v>
      </c>
    </row>
    <row r="2640" spans="4:8" x14ac:dyDescent="0.2">
      <c r="G2640" t="str">
        <f>"22292.13"</f>
        <v>22292.13</v>
      </c>
      <c r="H2640" t="s">
        <v>1931</v>
      </c>
    </row>
    <row r="2641" spans="5:8" x14ac:dyDescent="0.2">
      <c r="G2641" t="str">
        <f>"22292.14"</f>
        <v>22292.14</v>
      </c>
      <c r="H2641" t="s">
        <v>1932</v>
      </c>
    </row>
    <row r="2642" spans="5:8" x14ac:dyDescent="0.2">
      <c r="G2642" t="str">
        <f>"22292.19"</f>
        <v>22292.19</v>
      </c>
      <c r="H2642" t="s">
        <v>1933</v>
      </c>
    </row>
    <row r="2643" spans="5:8" x14ac:dyDescent="0.2">
      <c r="F2643" t="str">
        <f>"22292.9"</f>
        <v>22292.9</v>
      </c>
      <c r="H2643" t="s">
        <v>1934</v>
      </c>
    </row>
    <row r="2644" spans="5:8" x14ac:dyDescent="0.2">
      <c r="G2644" t="str">
        <f>"22292.90"</f>
        <v>22292.90</v>
      </c>
      <c r="H2644" t="s">
        <v>1934</v>
      </c>
    </row>
    <row r="2645" spans="5:8" x14ac:dyDescent="0.2">
      <c r="E2645" t="str">
        <f>"22299"</f>
        <v>22299</v>
      </c>
      <c r="H2645" t="s">
        <v>1935</v>
      </c>
    </row>
    <row r="2646" spans="5:8" x14ac:dyDescent="0.2">
      <c r="F2646" t="str">
        <f>"22299.1"</f>
        <v>22299.1</v>
      </c>
      <c r="H2646" t="s">
        <v>1936</v>
      </c>
    </row>
    <row r="2647" spans="5:8" x14ac:dyDescent="0.2">
      <c r="G2647" t="str">
        <f>"22299.10"</f>
        <v>22299.10</v>
      </c>
      <c r="H2647" t="s">
        <v>1936</v>
      </c>
    </row>
    <row r="2648" spans="5:8" x14ac:dyDescent="0.2">
      <c r="F2648" t="str">
        <f>"22299.2"</f>
        <v>22299.2</v>
      </c>
      <c r="H2648" t="s">
        <v>1935</v>
      </c>
    </row>
    <row r="2649" spans="5:8" x14ac:dyDescent="0.2">
      <c r="G2649" t="str">
        <f>"22299.21"</f>
        <v>22299.21</v>
      </c>
      <c r="H2649" t="s">
        <v>1937</v>
      </c>
    </row>
    <row r="2650" spans="5:8" x14ac:dyDescent="0.2">
      <c r="G2650" t="str">
        <f>"22299.22"</f>
        <v>22299.22</v>
      </c>
      <c r="H2650" t="s">
        <v>1938</v>
      </c>
    </row>
    <row r="2651" spans="5:8" x14ac:dyDescent="0.2">
      <c r="G2651" t="str">
        <f>"22299.23"</f>
        <v>22299.23</v>
      </c>
      <c r="H2651" t="s">
        <v>1939</v>
      </c>
    </row>
    <row r="2652" spans="5:8" x14ac:dyDescent="0.2">
      <c r="G2652" t="str">
        <f>"22299.24"</f>
        <v>22299.24</v>
      </c>
      <c r="H2652" t="s">
        <v>1940</v>
      </c>
    </row>
    <row r="2653" spans="5:8" x14ac:dyDescent="0.2">
      <c r="G2653" t="str">
        <f>"22299.25"</f>
        <v>22299.25</v>
      </c>
      <c r="H2653" t="s">
        <v>1941</v>
      </c>
    </row>
    <row r="2654" spans="5:8" x14ac:dyDescent="0.2">
      <c r="G2654" t="str">
        <f>"22299.29"</f>
        <v>22299.29</v>
      </c>
      <c r="H2654" t="s">
        <v>1942</v>
      </c>
    </row>
    <row r="2655" spans="5:8" x14ac:dyDescent="0.2">
      <c r="F2655" t="str">
        <f>"22299.9"</f>
        <v>22299.9</v>
      </c>
      <c r="H2655" t="s">
        <v>1943</v>
      </c>
    </row>
    <row r="2656" spans="5:8" x14ac:dyDescent="0.2">
      <c r="G2656" t="str">
        <f>"22299.90"</f>
        <v>22299.90</v>
      </c>
      <c r="H2656" t="s">
        <v>1943</v>
      </c>
    </row>
    <row r="2657" spans="2:8" x14ac:dyDescent="0.2">
      <c r="B2657" t="str">
        <f>"23"</f>
        <v>23</v>
      </c>
      <c r="H2657" t="s">
        <v>1944</v>
      </c>
    </row>
    <row r="2658" spans="2:8" x14ac:dyDescent="0.2">
      <c r="C2658" t="str">
        <f>"231"</f>
        <v>231</v>
      </c>
      <c r="H2658" t="s">
        <v>1945</v>
      </c>
    </row>
    <row r="2659" spans="2:8" x14ac:dyDescent="0.2">
      <c r="D2659" t="str">
        <f>"2310"</f>
        <v>2310</v>
      </c>
      <c r="H2659" t="s">
        <v>1945</v>
      </c>
    </row>
    <row r="2660" spans="2:8" x14ac:dyDescent="0.2">
      <c r="E2660" t="str">
        <f>"23101"</f>
        <v>23101</v>
      </c>
      <c r="H2660" t="s">
        <v>1946</v>
      </c>
    </row>
    <row r="2661" spans="2:8" x14ac:dyDescent="0.2">
      <c r="F2661" t="str">
        <f>"23101.1"</f>
        <v>23101.1</v>
      </c>
      <c r="H2661" t="s">
        <v>1946</v>
      </c>
    </row>
    <row r="2662" spans="2:8" x14ac:dyDescent="0.2">
      <c r="G2662" t="str">
        <f>"23101.11"</f>
        <v>23101.11</v>
      </c>
      <c r="H2662" t="s">
        <v>1947</v>
      </c>
    </row>
    <row r="2663" spans="2:8" x14ac:dyDescent="0.2">
      <c r="G2663" t="str">
        <f>"23101.12"</f>
        <v>23101.12</v>
      </c>
      <c r="H2663" t="s">
        <v>1948</v>
      </c>
    </row>
    <row r="2664" spans="2:8" x14ac:dyDescent="0.2">
      <c r="F2664" t="str">
        <f>"23101.2"</f>
        <v>23101.2</v>
      </c>
      <c r="H2664" t="s">
        <v>1949</v>
      </c>
    </row>
    <row r="2665" spans="2:8" x14ac:dyDescent="0.2">
      <c r="G2665" t="str">
        <f>"23101.21"</f>
        <v>23101.21</v>
      </c>
      <c r="H2665" t="s">
        <v>1950</v>
      </c>
    </row>
    <row r="2666" spans="2:8" x14ac:dyDescent="0.2">
      <c r="G2666" t="str">
        <f>"23101.22"</f>
        <v>23101.22</v>
      </c>
      <c r="H2666" t="s">
        <v>1951</v>
      </c>
    </row>
    <row r="2667" spans="2:8" x14ac:dyDescent="0.2">
      <c r="G2667" t="str">
        <f>"23101.23"</f>
        <v>23101.23</v>
      </c>
      <c r="H2667" t="s">
        <v>1952</v>
      </c>
    </row>
    <row r="2668" spans="2:8" x14ac:dyDescent="0.2">
      <c r="F2668" t="str">
        <f>"23101.9"</f>
        <v>23101.9</v>
      </c>
      <c r="H2668" t="s">
        <v>1953</v>
      </c>
    </row>
    <row r="2669" spans="2:8" x14ac:dyDescent="0.2">
      <c r="G2669" t="str">
        <f>"23101.90"</f>
        <v>23101.90</v>
      </c>
      <c r="H2669" t="s">
        <v>1953</v>
      </c>
    </row>
    <row r="2670" spans="2:8" x14ac:dyDescent="0.2">
      <c r="E2670" t="str">
        <f>"23102"</f>
        <v>23102</v>
      </c>
      <c r="H2670" t="s">
        <v>1954</v>
      </c>
    </row>
    <row r="2671" spans="2:8" x14ac:dyDescent="0.2">
      <c r="F2671" t="str">
        <f>"23102.1"</f>
        <v>23102.1</v>
      </c>
      <c r="H2671" t="s">
        <v>1955</v>
      </c>
    </row>
    <row r="2672" spans="2:8" x14ac:dyDescent="0.2">
      <c r="G2672" t="str">
        <f>"23102.11"</f>
        <v>23102.11</v>
      </c>
      <c r="H2672" t="s">
        <v>1956</v>
      </c>
    </row>
    <row r="2673" spans="5:8" x14ac:dyDescent="0.2">
      <c r="G2673" t="str">
        <f>"23102.12"</f>
        <v>23102.12</v>
      </c>
      <c r="H2673" t="s">
        <v>1957</v>
      </c>
    </row>
    <row r="2674" spans="5:8" x14ac:dyDescent="0.2">
      <c r="G2674" t="str">
        <f>"23102.13"</f>
        <v>23102.13</v>
      </c>
      <c r="H2674" t="s">
        <v>1958</v>
      </c>
    </row>
    <row r="2675" spans="5:8" x14ac:dyDescent="0.2">
      <c r="G2675" t="str">
        <f>"23102.14"</f>
        <v>23102.14</v>
      </c>
      <c r="H2675" t="s">
        <v>1959</v>
      </c>
    </row>
    <row r="2676" spans="5:8" x14ac:dyDescent="0.2">
      <c r="F2676" t="str">
        <f>"23102.9"</f>
        <v>23102.9</v>
      </c>
      <c r="H2676" t="s">
        <v>1960</v>
      </c>
    </row>
    <row r="2677" spans="5:8" x14ac:dyDescent="0.2">
      <c r="G2677" t="str">
        <f>"23102.91"</f>
        <v>23102.91</v>
      </c>
      <c r="H2677" t="s">
        <v>1961</v>
      </c>
    </row>
    <row r="2678" spans="5:8" x14ac:dyDescent="0.2">
      <c r="G2678" t="str">
        <f>"23102.92"</f>
        <v>23102.92</v>
      </c>
      <c r="H2678" t="s">
        <v>1962</v>
      </c>
    </row>
    <row r="2679" spans="5:8" x14ac:dyDescent="0.2">
      <c r="E2679" t="str">
        <f>"23103"</f>
        <v>23103</v>
      </c>
      <c r="H2679" t="s">
        <v>1963</v>
      </c>
    </row>
    <row r="2680" spans="5:8" x14ac:dyDescent="0.2">
      <c r="F2680" t="str">
        <f>"23103.1"</f>
        <v>23103.1</v>
      </c>
      <c r="H2680" t="s">
        <v>1963</v>
      </c>
    </row>
    <row r="2681" spans="5:8" x14ac:dyDescent="0.2">
      <c r="G2681" t="str">
        <f>"23103.11"</f>
        <v>23103.11</v>
      </c>
      <c r="H2681" t="s">
        <v>1964</v>
      </c>
    </row>
    <row r="2682" spans="5:8" x14ac:dyDescent="0.2">
      <c r="G2682" t="str">
        <f>"23103.12"</f>
        <v>23103.12</v>
      </c>
      <c r="H2682" t="s">
        <v>1965</v>
      </c>
    </row>
    <row r="2683" spans="5:8" x14ac:dyDescent="0.2">
      <c r="F2683" t="str">
        <f>"23103.9"</f>
        <v>23103.9</v>
      </c>
      <c r="H2683" t="s">
        <v>1966</v>
      </c>
    </row>
    <row r="2684" spans="5:8" x14ac:dyDescent="0.2">
      <c r="G2684" t="str">
        <f>"23103.90"</f>
        <v>23103.90</v>
      </c>
      <c r="H2684" t="s">
        <v>1966</v>
      </c>
    </row>
    <row r="2685" spans="5:8" x14ac:dyDescent="0.2">
      <c r="E2685" t="str">
        <f>"23109"</f>
        <v>23109</v>
      </c>
      <c r="H2685" t="s">
        <v>1967</v>
      </c>
    </row>
    <row r="2686" spans="5:8" x14ac:dyDescent="0.2">
      <c r="F2686" t="str">
        <f>"23109.1"</f>
        <v>23109.1</v>
      </c>
      <c r="H2686" t="s">
        <v>1968</v>
      </c>
    </row>
    <row r="2687" spans="5:8" x14ac:dyDescent="0.2">
      <c r="G2687" t="str">
        <f>"23109.11"</f>
        <v>23109.11</v>
      </c>
      <c r="H2687" t="s">
        <v>1969</v>
      </c>
    </row>
    <row r="2688" spans="5:8" x14ac:dyDescent="0.2">
      <c r="G2688" t="str">
        <f>"23109.12"</f>
        <v>23109.12</v>
      </c>
      <c r="H2688" t="s">
        <v>1970</v>
      </c>
    </row>
    <row r="2689" spans="3:8" x14ac:dyDescent="0.2">
      <c r="F2689" t="str">
        <f>"23109.2"</f>
        <v>23109.2</v>
      </c>
      <c r="H2689" t="s">
        <v>1971</v>
      </c>
    </row>
    <row r="2690" spans="3:8" x14ac:dyDescent="0.2">
      <c r="G2690" t="str">
        <f>"23109.21"</f>
        <v>23109.21</v>
      </c>
      <c r="H2690" t="s">
        <v>1972</v>
      </c>
    </row>
    <row r="2691" spans="3:8" x14ac:dyDescent="0.2">
      <c r="G2691" t="str">
        <f>"23109.22"</f>
        <v>23109.22</v>
      </c>
      <c r="H2691" t="s">
        <v>1973</v>
      </c>
    </row>
    <row r="2692" spans="3:8" x14ac:dyDescent="0.2">
      <c r="G2692" t="str">
        <f>"23109.23"</f>
        <v>23109.23</v>
      </c>
      <c r="H2692" t="s">
        <v>1974</v>
      </c>
    </row>
    <row r="2693" spans="3:8" x14ac:dyDescent="0.2">
      <c r="G2693" t="str">
        <f>"23109.24"</f>
        <v>23109.24</v>
      </c>
      <c r="H2693" t="s">
        <v>1975</v>
      </c>
    </row>
    <row r="2694" spans="3:8" x14ac:dyDescent="0.2">
      <c r="G2694" t="str">
        <f>"23109.25"</f>
        <v>23109.25</v>
      </c>
      <c r="H2694" t="s">
        <v>1976</v>
      </c>
    </row>
    <row r="2695" spans="3:8" x14ac:dyDescent="0.2">
      <c r="G2695" t="str">
        <f>"23109.29"</f>
        <v>23109.29</v>
      </c>
      <c r="H2695" t="s">
        <v>1977</v>
      </c>
    </row>
    <row r="2696" spans="3:8" x14ac:dyDescent="0.2">
      <c r="F2696" t="str">
        <f>"23109.9"</f>
        <v>23109.9</v>
      </c>
      <c r="H2696" t="s">
        <v>1978</v>
      </c>
    </row>
    <row r="2697" spans="3:8" x14ac:dyDescent="0.2">
      <c r="G2697" t="str">
        <f>"23109.91"</f>
        <v>23109.91</v>
      </c>
      <c r="H2697" t="s">
        <v>1979</v>
      </c>
    </row>
    <row r="2698" spans="3:8" x14ac:dyDescent="0.2">
      <c r="C2698" t="str">
        <f>"239"</f>
        <v>239</v>
      </c>
      <c r="H2698" t="s">
        <v>1980</v>
      </c>
    </row>
    <row r="2699" spans="3:8" x14ac:dyDescent="0.2">
      <c r="D2699" t="str">
        <f>"2391"</f>
        <v>2391</v>
      </c>
      <c r="H2699" t="s">
        <v>1981</v>
      </c>
    </row>
    <row r="2700" spans="3:8" x14ac:dyDescent="0.2">
      <c r="E2700" t="str">
        <f>"23910"</f>
        <v>23910</v>
      </c>
      <c r="H2700" t="s">
        <v>1981</v>
      </c>
    </row>
    <row r="2701" spans="3:8" x14ac:dyDescent="0.2">
      <c r="F2701" t="str">
        <f>"23910.1"</f>
        <v>23910.1</v>
      </c>
      <c r="H2701" t="s">
        <v>1981</v>
      </c>
    </row>
    <row r="2702" spans="3:8" x14ac:dyDescent="0.2">
      <c r="G2702" t="str">
        <f>"23910.11"</f>
        <v>23910.11</v>
      </c>
      <c r="H2702" t="s">
        <v>1982</v>
      </c>
    </row>
    <row r="2703" spans="3:8" x14ac:dyDescent="0.2">
      <c r="G2703" t="str">
        <f>"23910.12"</f>
        <v>23910.12</v>
      </c>
      <c r="H2703" t="s">
        <v>1983</v>
      </c>
    </row>
    <row r="2704" spans="3:8" x14ac:dyDescent="0.2">
      <c r="G2704" t="str">
        <f>"23910.13"</f>
        <v>23910.13</v>
      </c>
      <c r="H2704" t="s">
        <v>1984</v>
      </c>
    </row>
    <row r="2705" spans="4:8" x14ac:dyDescent="0.2">
      <c r="G2705" t="str">
        <f>"23910.14"</f>
        <v>23910.14</v>
      </c>
      <c r="H2705" t="s">
        <v>1985</v>
      </c>
    </row>
    <row r="2706" spans="4:8" x14ac:dyDescent="0.2">
      <c r="F2706" t="str">
        <f>"23910.9"</f>
        <v>23910.9</v>
      </c>
      <c r="H2706" t="s">
        <v>1986</v>
      </c>
    </row>
    <row r="2707" spans="4:8" x14ac:dyDescent="0.2">
      <c r="G2707" t="str">
        <f>"23910.90"</f>
        <v>23910.90</v>
      </c>
      <c r="H2707" t="s">
        <v>1986</v>
      </c>
    </row>
    <row r="2708" spans="4:8" x14ac:dyDescent="0.2">
      <c r="D2708" t="str">
        <f>"2392"</f>
        <v>2392</v>
      </c>
      <c r="H2708" t="s">
        <v>1987</v>
      </c>
    </row>
    <row r="2709" spans="4:8" x14ac:dyDescent="0.2">
      <c r="E2709" t="str">
        <f>"23921"</f>
        <v>23921</v>
      </c>
      <c r="H2709" t="s">
        <v>1988</v>
      </c>
    </row>
    <row r="2710" spans="4:8" x14ac:dyDescent="0.2">
      <c r="F2710" t="str">
        <f>"23921.1"</f>
        <v>23921.1</v>
      </c>
      <c r="H2710" t="s">
        <v>1989</v>
      </c>
    </row>
    <row r="2711" spans="4:8" x14ac:dyDescent="0.2">
      <c r="G2711" t="str">
        <f>"23921.10"</f>
        <v>23921.10</v>
      </c>
      <c r="H2711" t="s">
        <v>1989</v>
      </c>
    </row>
    <row r="2712" spans="4:8" x14ac:dyDescent="0.2">
      <c r="F2712" t="str">
        <f>"23921.9"</f>
        <v>23921.9</v>
      </c>
      <c r="H2712" t="s">
        <v>1990</v>
      </c>
    </row>
    <row r="2713" spans="4:8" x14ac:dyDescent="0.2">
      <c r="G2713" t="str">
        <f>"23921.90"</f>
        <v>23921.90</v>
      </c>
      <c r="H2713" t="s">
        <v>1990</v>
      </c>
    </row>
    <row r="2714" spans="4:8" x14ac:dyDescent="0.2">
      <c r="E2714" t="str">
        <f>"23922"</f>
        <v>23922</v>
      </c>
      <c r="H2714" t="s">
        <v>1991</v>
      </c>
    </row>
    <row r="2715" spans="4:8" x14ac:dyDescent="0.2">
      <c r="F2715" t="str">
        <f>"23922.1"</f>
        <v>23922.1</v>
      </c>
      <c r="H2715" t="s">
        <v>1992</v>
      </c>
    </row>
    <row r="2716" spans="4:8" x14ac:dyDescent="0.2">
      <c r="G2716" t="str">
        <f>"23922.10"</f>
        <v>23922.10</v>
      </c>
      <c r="H2716" t="s">
        <v>1992</v>
      </c>
    </row>
    <row r="2717" spans="4:8" x14ac:dyDescent="0.2">
      <c r="F2717" t="str">
        <f>"23922.9"</f>
        <v>23922.9</v>
      </c>
      <c r="H2717" t="s">
        <v>1993</v>
      </c>
    </row>
    <row r="2718" spans="4:8" x14ac:dyDescent="0.2">
      <c r="G2718" t="str">
        <f>"23922.90"</f>
        <v>23922.90</v>
      </c>
      <c r="H2718" t="s">
        <v>1993</v>
      </c>
    </row>
    <row r="2719" spans="4:8" x14ac:dyDescent="0.2">
      <c r="E2719" t="str">
        <f>"23923"</f>
        <v>23923</v>
      </c>
      <c r="H2719" t="s">
        <v>1994</v>
      </c>
    </row>
    <row r="2720" spans="4:8" x14ac:dyDescent="0.2">
      <c r="F2720" t="str">
        <f>"23923.1"</f>
        <v>23923.1</v>
      </c>
      <c r="H2720" t="s">
        <v>1995</v>
      </c>
    </row>
    <row r="2721" spans="4:8" x14ac:dyDescent="0.2">
      <c r="G2721" t="str">
        <f>"23923.10"</f>
        <v>23923.10</v>
      </c>
      <c r="H2721" t="s">
        <v>1995</v>
      </c>
    </row>
    <row r="2722" spans="4:8" x14ac:dyDescent="0.2">
      <c r="F2722" t="str">
        <f>"23923.9"</f>
        <v>23923.9</v>
      </c>
      <c r="H2722" t="s">
        <v>1996</v>
      </c>
    </row>
    <row r="2723" spans="4:8" x14ac:dyDescent="0.2">
      <c r="G2723" t="str">
        <f>"23923.90"</f>
        <v>23923.90</v>
      </c>
      <c r="H2723" t="s">
        <v>1996</v>
      </c>
    </row>
    <row r="2724" spans="4:8" x14ac:dyDescent="0.2">
      <c r="E2724" t="str">
        <f>"23929"</f>
        <v>23929</v>
      </c>
      <c r="H2724" t="s">
        <v>1997</v>
      </c>
    </row>
    <row r="2725" spans="4:8" x14ac:dyDescent="0.2">
      <c r="F2725" t="str">
        <f>"23929.1"</f>
        <v>23929.1</v>
      </c>
      <c r="H2725" t="s">
        <v>1997</v>
      </c>
    </row>
    <row r="2726" spans="4:8" x14ac:dyDescent="0.2">
      <c r="G2726" t="str">
        <f>"23929.11"</f>
        <v>23929.11</v>
      </c>
      <c r="H2726" t="s">
        <v>1998</v>
      </c>
    </row>
    <row r="2727" spans="4:8" x14ac:dyDescent="0.2">
      <c r="G2727" t="str">
        <f>"23929.12"</f>
        <v>23929.12</v>
      </c>
      <c r="H2727" t="s">
        <v>1999</v>
      </c>
    </row>
    <row r="2728" spans="4:8" x14ac:dyDescent="0.2">
      <c r="G2728" t="str">
        <f>"23929.13"</f>
        <v>23929.13</v>
      </c>
      <c r="H2728" t="s">
        <v>2000</v>
      </c>
    </row>
    <row r="2729" spans="4:8" x14ac:dyDescent="0.2">
      <c r="F2729" t="str">
        <f>"23929.9"</f>
        <v>23929.9</v>
      </c>
      <c r="H2729" t="s">
        <v>2001</v>
      </c>
    </row>
    <row r="2730" spans="4:8" x14ac:dyDescent="0.2">
      <c r="G2730" t="str">
        <f>"23929.90"</f>
        <v>23929.90</v>
      </c>
      <c r="H2730" t="s">
        <v>2001</v>
      </c>
    </row>
    <row r="2731" spans="4:8" x14ac:dyDescent="0.2">
      <c r="D2731" t="str">
        <f>"2393"</f>
        <v>2393</v>
      </c>
      <c r="H2731" t="s">
        <v>2002</v>
      </c>
    </row>
    <row r="2732" spans="4:8" x14ac:dyDescent="0.2">
      <c r="E2732" t="str">
        <f>"23931"</f>
        <v>23931</v>
      </c>
      <c r="H2732" t="s">
        <v>2003</v>
      </c>
    </row>
    <row r="2733" spans="4:8" x14ac:dyDescent="0.2">
      <c r="F2733" t="str">
        <f>"23931.1"</f>
        <v>23931.1</v>
      </c>
      <c r="H2733" t="s">
        <v>2004</v>
      </c>
    </row>
    <row r="2734" spans="4:8" x14ac:dyDescent="0.2">
      <c r="G2734" t="str">
        <f>"23931.11"</f>
        <v>23931.11</v>
      </c>
      <c r="H2734" t="s">
        <v>2005</v>
      </c>
    </row>
    <row r="2735" spans="4:8" x14ac:dyDescent="0.2">
      <c r="G2735" t="str">
        <f>"23931.12"</f>
        <v>23931.12</v>
      </c>
      <c r="H2735" t="s">
        <v>2006</v>
      </c>
    </row>
    <row r="2736" spans="4:8" x14ac:dyDescent="0.2">
      <c r="F2736" t="str">
        <f>"23931.9"</f>
        <v>23931.9</v>
      </c>
      <c r="H2736" t="s">
        <v>2007</v>
      </c>
    </row>
    <row r="2737" spans="5:8" x14ac:dyDescent="0.2">
      <c r="G2737" t="str">
        <f>"23931.90"</f>
        <v>23931.90</v>
      </c>
      <c r="H2737" t="s">
        <v>2007</v>
      </c>
    </row>
    <row r="2738" spans="5:8" x14ac:dyDescent="0.2">
      <c r="E2738" t="str">
        <f>"23932"</f>
        <v>23932</v>
      </c>
      <c r="H2738" t="s">
        <v>2008</v>
      </c>
    </row>
    <row r="2739" spans="5:8" x14ac:dyDescent="0.2">
      <c r="F2739" t="str">
        <f>"23932.1"</f>
        <v>23932.1</v>
      </c>
      <c r="H2739" t="s">
        <v>2009</v>
      </c>
    </row>
    <row r="2740" spans="5:8" x14ac:dyDescent="0.2">
      <c r="G2740" t="str">
        <f>"23932.10"</f>
        <v>23932.10</v>
      </c>
      <c r="H2740" t="s">
        <v>2009</v>
      </c>
    </row>
    <row r="2741" spans="5:8" x14ac:dyDescent="0.2">
      <c r="F2741" t="str">
        <f>"23932.9"</f>
        <v>23932.9</v>
      </c>
      <c r="H2741" t="s">
        <v>2010</v>
      </c>
    </row>
    <row r="2742" spans="5:8" x14ac:dyDescent="0.2">
      <c r="G2742" t="str">
        <f>"23932.90"</f>
        <v>23932.90</v>
      </c>
      <c r="H2742" t="s">
        <v>2010</v>
      </c>
    </row>
    <row r="2743" spans="5:8" x14ac:dyDescent="0.2">
      <c r="E2743" t="str">
        <f>"23933"</f>
        <v>23933</v>
      </c>
      <c r="H2743" t="s">
        <v>2011</v>
      </c>
    </row>
    <row r="2744" spans="5:8" x14ac:dyDescent="0.2">
      <c r="F2744" t="str">
        <f>"23933.1"</f>
        <v>23933.1</v>
      </c>
      <c r="H2744" t="s">
        <v>2012</v>
      </c>
    </row>
    <row r="2745" spans="5:8" x14ac:dyDescent="0.2">
      <c r="G2745" t="str">
        <f>"23933.10"</f>
        <v>23933.10</v>
      </c>
      <c r="H2745" t="s">
        <v>2012</v>
      </c>
    </row>
    <row r="2746" spans="5:8" x14ac:dyDescent="0.2">
      <c r="F2746" t="str">
        <f>"23933.9"</f>
        <v>23933.9</v>
      </c>
      <c r="H2746" t="s">
        <v>2013</v>
      </c>
    </row>
    <row r="2747" spans="5:8" x14ac:dyDescent="0.2">
      <c r="G2747" t="str">
        <f>"23933.90"</f>
        <v>23933.90</v>
      </c>
      <c r="H2747" t="s">
        <v>2013</v>
      </c>
    </row>
    <row r="2748" spans="5:8" x14ac:dyDescent="0.2">
      <c r="E2748" t="str">
        <f>"23939"</f>
        <v>23939</v>
      </c>
      <c r="H2748" t="s">
        <v>2014</v>
      </c>
    </row>
    <row r="2749" spans="5:8" x14ac:dyDescent="0.2">
      <c r="F2749" t="str">
        <f>"23939.1"</f>
        <v>23939.1</v>
      </c>
      <c r="H2749" t="s">
        <v>2015</v>
      </c>
    </row>
    <row r="2750" spans="5:8" x14ac:dyDescent="0.2">
      <c r="G2750" t="str">
        <f>"23939.11"</f>
        <v>23939.11</v>
      </c>
      <c r="H2750" t="s">
        <v>2016</v>
      </c>
    </row>
    <row r="2751" spans="5:8" x14ac:dyDescent="0.2">
      <c r="G2751" t="str">
        <f>"23939.12"</f>
        <v>23939.12</v>
      </c>
      <c r="H2751" t="s">
        <v>2017</v>
      </c>
    </row>
    <row r="2752" spans="5:8" x14ac:dyDescent="0.2">
      <c r="F2752" t="str">
        <f>"23939.2"</f>
        <v>23939.2</v>
      </c>
      <c r="H2752" t="s">
        <v>2018</v>
      </c>
    </row>
    <row r="2753" spans="4:8" x14ac:dyDescent="0.2">
      <c r="G2753" t="str">
        <f>"23939.21"</f>
        <v>23939.21</v>
      </c>
      <c r="H2753" t="s">
        <v>2019</v>
      </c>
    </row>
    <row r="2754" spans="4:8" x14ac:dyDescent="0.2">
      <c r="G2754" t="str">
        <f>"23939.22"</f>
        <v>23939.22</v>
      </c>
      <c r="H2754" t="s">
        <v>2020</v>
      </c>
    </row>
    <row r="2755" spans="4:8" x14ac:dyDescent="0.2">
      <c r="G2755" t="str">
        <f>"23939.29"</f>
        <v>23939.29</v>
      </c>
      <c r="H2755" t="s">
        <v>2018</v>
      </c>
    </row>
    <row r="2756" spans="4:8" x14ac:dyDescent="0.2">
      <c r="F2756" t="str">
        <f>"23939.9"</f>
        <v>23939.9</v>
      </c>
      <c r="H2756" t="s">
        <v>2021</v>
      </c>
    </row>
    <row r="2757" spans="4:8" x14ac:dyDescent="0.2">
      <c r="G2757" t="str">
        <f>"23939.90"</f>
        <v>23939.90</v>
      </c>
      <c r="H2757" t="s">
        <v>2021</v>
      </c>
    </row>
    <row r="2758" spans="4:8" x14ac:dyDescent="0.2">
      <c r="D2758" t="str">
        <f>"2394"</f>
        <v>2394</v>
      </c>
      <c r="H2758" t="s">
        <v>2022</v>
      </c>
    </row>
    <row r="2759" spans="4:8" x14ac:dyDescent="0.2">
      <c r="E2759" t="str">
        <f>"23941"</f>
        <v>23941</v>
      </c>
      <c r="H2759" t="s">
        <v>2023</v>
      </c>
    </row>
    <row r="2760" spans="4:8" x14ac:dyDescent="0.2">
      <c r="F2760" t="str">
        <f>"23941.1"</f>
        <v>23941.1</v>
      </c>
      <c r="H2760" t="s">
        <v>2023</v>
      </c>
    </row>
    <row r="2761" spans="4:8" x14ac:dyDescent="0.2">
      <c r="G2761" t="str">
        <f>"23941.11"</f>
        <v>23941.11</v>
      </c>
      <c r="H2761" t="s">
        <v>2024</v>
      </c>
    </row>
    <row r="2762" spans="4:8" x14ac:dyDescent="0.2">
      <c r="G2762" t="str">
        <f>"23941.12"</f>
        <v>23941.12</v>
      </c>
      <c r="H2762" t="s">
        <v>2025</v>
      </c>
    </row>
    <row r="2763" spans="4:8" x14ac:dyDescent="0.2">
      <c r="F2763" t="str">
        <f>"23941.9"</f>
        <v>23941.9</v>
      </c>
      <c r="H2763" t="s">
        <v>2026</v>
      </c>
    </row>
    <row r="2764" spans="4:8" x14ac:dyDescent="0.2">
      <c r="G2764" t="str">
        <f>"23941.90"</f>
        <v>23941.90</v>
      </c>
      <c r="H2764" t="s">
        <v>2026</v>
      </c>
    </row>
    <row r="2765" spans="4:8" x14ac:dyDescent="0.2">
      <c r="E2765" t="str">
        <f>"23942"</f>
        <v>23942</v>
      </c>
      <c r="H2765" t="s">
        <v>2027</v>
      </c>
    </row>
    <row r="2766" spans="4:8" x14ac:dyDescent="0.2">
      <c r="F2766" t="str">
        <f>"23942.1"</f>
        <v>23942.1</v>
      </c>
      <c r="H2766" t="s">
        <v>2028</v>
      </c>
    </row>
    <row r="2767" spans="4:8" x14ac:dyDescent="0.2">
      <c r="G2767" t="str">
        <f>"23942.10"</f>
        <v>23942.10</v>
      </c>
      <c r="H2767" t="s">
        <v>2028</v>
      </c>
    </row>
    <row r="2768" spans="4:8" x14ac:dyDescent="0.2">
      <c r="F2768" t="str">
        <f>"23942.2"</f>
        <v>23942.2</v>
      </c>
      <c r="H2768" t="s">
        <v>2029</v>
      </c>
    </row>
    <row r="2769" spans="4:8" x14ac:dyDescent="0.2">
      <c r="G2769" t="str">
        <f>"23942.20"</f>
        <v>23942.20</v>
      </c>
      <c r="H2769" t="s">
        <v>2029</v>
      </c>
    </row>
    <row r="2770" spans="4:8" x14ac:dyDescent="0.2">
      <c r="F2770" t="str">
        <f>"23942.3"</f>
        <v>23942.3</v>
      </c>
      <c r="H2770" t="s">
        <v>2030</v>
      </c>
    </row>
    <row r="2771" spans="4:8" x14ac:dyDescent="0.2">
      <c r="G2771" t="str">
        <f>"23942.30"</f>
        <v>23942.30</v>
      </c>
      <c r="H2771" t="s">
        <v>2030</v>
      </c>
    </row>
    <row r="2772" spans="4:8" x14ac:dyDescent="0.2">
      <c r="F2772" t="str">
        <f>"23942.9"</f>
        <v>23942.9</v>
      </c>
      <c r="H2772" t="s">
        <v>2031</v>
      </c>
    </row>
    <row r="2773" spans="4:8" x14ac:dyDescent="0.2">
      <c r="G2773" t="str">
        <f>"23942.90"</f>
        <v>23942.90</v>
      </c>
      <c r="H2773" t="s">
        <v>2031</v>
      </c>
    </row>
    <row r="2774" spans="4:8" x14ac:dyDescent="0.2">
      <c r="D2774" t="str">
        <f>"2395"</f>
        <v>2395</v>
      </c>
      <c r="H2774" t="s">
        <v>2032</v>
      </c>
    </row>
    <row r="2775" spans="4:8" x14ac:dyDescent="0.2">
      <c r="E2775" t="str">
        <f>"23951"</f>
        <v>23951</v>
      </c>
      <c r="H2775" t="s">
        <v>2033</v>
      </c>
    </row>
    <row r="2776" spans="4:8" x14ac:dyDescent="0.2">
      <c r="F2776" t="str">
        <f>"23951.1"</f>
        <v>23951.1</v>
      </c>
      <c r="H2776" t="s">
        <v>2033</v>
      </c>
    </row>
    <row r="2777" spans="4:8" x14ac:dyDescent="0.2">
      <c r="G2777" t="str">
        <f>"23951.11"</f>
        <v>23951.11</v>
      </c>
      <c r="H2777" t="s">
        <v>2034</v>
      </c>
    </row>
    <row r="2778" spans="4:8" x14ac:dyDescent="0.2">
      <c r="G2778" t="str">
        <f>"23951.12"</f>
        <v>23951.12</v>
      </c>
      <c r="H2778" t="s">
        <v>2035</v>
      </c>
    </row>
    <row r="2779" spans="4:8" x14ac:dyDescent="0.2">
      <c r="F2779" t="str">
        <f>"23951.2"</f>
        <v>23951.2</v>
      </c>
      <c r="H2779" t="s">
        <v>2036</v>
      </c>
    </row>
    <row r="2780" spans="4:8" x14ac:dyDescent="0.2">
      <c r="G2780" t="str">
        <f>"23951.20"</f>
        <v>23951.20</v>
      </c>
      <c r="H2780" t="s">
        <v>2036</v>
      </c>
    </row>
    <row r="2781" spans="4:8" x14ac:dyDescent="0.2">
      <c r="F2781" t="str">
        <f>"23951.9"</f>
        <v>23951.9</v>
      </c>
      <c r="H2781" t="s">
        <v>2037</v>
      </c>
    </row>
    <row r="2782" spans="4:8" x14ac:dyDescent="0.2">
      <c r="G2782" t="str">
        <f>"23951.90"</f>
        <v>23951.90</v>
      </c>
      <c r="H2782" t="s">
        <v>2037</v>
      </c>
    </row>
    <row r="2783" spans="4:8" x14ac:dyDescent="0.2">
      <c r="E2783" t="str">
        <f>"23952"</f>
        <v>23952</v>
      </c>
      <c r="H2783" t="s">
        <v>2038</v>
      </c>
    </row>
    <row r="2784" spans="4:8" x14ac:dyDescent="0.2">
      <c r="F2784" t="str">
        <f>"23952.1"</f>
        <v>23952.1</v>
      </c>
      <c r="H2784" t="s">
        <v>2039</v>
      </c>
    </row>
    <row r="2785" spans="5:8" x14ac:dyDescent="0.2">
      <c r="G2785" t="str">
        <f>"23952.10"</f>
        <v>23952.10</v>
      </c>
      <c r="H2785" t="s">
        <v>2039</v>
      </c>
    </row>
    <row r="2786" spans="5:8" x14ac:dyDescent="0.2">
      <c r="F2786" t="str">
        <f>"23952.9"</f>
        <v>23952.9</v>
      </c>
      <c r="H2786" t="s">
        <v>2040</v>
      </c>
    </row>
    <row r="2787" spans="5:8" x14ac:dyDescent="0.2">
      <c r="G2787" t="str">
        <f>"23952.90"</f>
        <v>23952.90</v>
      </c>
      <c r="H2787" t="s">
        <v>2040</v>
      </c>
    </row>
    <row r="2788" spans="5:8" x14ac:dyDescent="0.2">
      <c r="E2788" t="str">
        <f>"23953"</f>
        <v>23953</v>
      </c>
      <c r="H2788" t="s">
        <v>2041</v>
      </c>
    </row>
    <row r="2789" spans="5:8" x14ac:dyDescent="0.2">
      <c r="F2789" t="str">
        <f>"23953.1"</f>
        <v>23953.1</v>
      </c>
      <c r="H2789" t="s">
        <v>2041</v>
      </c>
    </row>
    <row r="2790" spans="5:8" x14ac:dyDescent="0.2">
      <c r="G2790" t="str">
        <f>"23953.10"</f>
        <v>23953.10</v>
      </c>
      <c r="H2790" t="s">
        <v>2041</v>
      </c>
    </row>
    <row r="2791" spans="5:8" x14ac:dyDescent="0.2">
      <c r="F2791" t="str">
        <f>"23953.2"</f>
        <v>23953.2</v>
      </c>
      <c r="H2791" t="s">
        <v>2042</v>
      </c>
    </row>
    <row r="2792" spans="5:8" x14ac:dyDescent="0.2">
      <c r="G2792" t="str">
        <f>"23953.20"</f>
        <v>23953.20</v>
      </c>
      <c r="H2792" t="s">
        <v>2042</v>
      </c>
    </row>
    <row r="2793" spans="5:8" x14ac:dyDescent="0.2">
      <c r="F2793" t="str">
        <f>"23953.9"</f>
        <v>23953.9</v>
      </c>
      <c r="H2793" t="s">
        <v>2043</v>
      </c>
    </row>
    <row r="2794" spans="5:8" x14ac:dyDescent="0.2">
      <c r="G2794" t="str">
        <f>"23953.90"</f>
        <v>23953.90</v>
      </c>
      <c r="H2794" t="s">
        <v>2043</v>
      </c>
    </row>
    <row r="2795" spans="5:8" x14ac:dyDescent="0.2">
      <c r="E2795" t="str">
        <f>"23954"</f>
        <v>23954</v>
      </c>
      <c r="H2795" t="s">
        <v>2044</v>
      </c>
    </row>
    <row r="2796" spans="5:8" x14ac:dyDescent="0.2">
      <c r="F2796" t="str">
        <f>"23954.1"</f>
        <v>23954.1</v>
      </c>
      <c r="H2796" t="s">
        <v>2044</v>
      </c>
    </row>
    <row r="2797" spans="5:8" x14ac:dyDescent="0.2">
      <c r="G2797" t="str">
        <f>"23954.11"</f>
        <v>23954.11</v>
      </c>
      <c r="H2797" t="s">
        <v>2045</v>
      </c>
    </row>
    <row r="2798" spans="5:8" x14ac:dyDescent="0.2">
      <c r="G2798" t="str">
        <f>"23954.12"</f>
        <v>23954.12</v>
      </c>
      <c r="H2798" t="s">
        <v>2046</v>
      </c>
    </row>
    <row r="2799" spans="5:8" x14ac:dyDescent="0.2">
      <c r="F2799" t="str">
        <f>"23954.9"</f>
        <v>23954.9</v>
      </c>
      <c r="H2799" t="s">
        <v>2047</v>
      </c>
    </row>
    <row r="2800" spans="5:8" x14ac:dyDescent="0.2">
      <c r="G2800" t="str">
        <f>"23954.90"</f>
        <v>23954.90</v>
      </c>
      <c r="H2800" t="s">
        <v>2047</v>
      </c>
    </row>
    <row r="2801" spans="4:8" x14ac:dyDescent="0.2">
      <c r="E2801" t="str">
        <f>"23959"</f>
        <v>23959</v>
      </c>
      <c r="H2801" t="s">
        <v>2048</v>
      </c>
    </row>
    <row r="2802" spans="4:8" x14ac:dyDescent="0.2">
      <c r="F2802" t="str">
        <f>"23959.1"</f>
        <v>23959.1</v>
      </c>
      <c r="H2802" t="s">
        <v>2048</v>
      </c>
    </row>
    <row r="2803" spans="4:8" x14ac:dyDescent="0.2">
      <c r="G2803" t="str">
        <f>"23959.11"</f>
        <v>23959.11</v>
      </c>
      <c r="H2803" t="s">
        <v>2049</v>
      </c>
    </row>
    <row r="2804" spans="4:8" x14ac:dyDescent="0.2">
      <c r="G2804" t="str">
        <f>"23959.19"</f>
        <v>23959.19</v>
      </c>
      <c r="H2804" t="s">
        <v>2050</v>
      </c>
    </row>
    <row r="2805" spans="4:8" x14ac:dyDescent="0.2">
      <c r="F2805" t="str">
        <f>"23959.9"</f>
        <v>23959.9</v>
      </c>
      <c r="H2805" t="s">
        <v>2051</v>
      </c>
    </row>
    <row r="2806" spans="4:8" x14ac:dyDescent="0.2">
      <c r="G2806" t="str">
        <f>"23959.90"</f>
        <v>23959.90</v>
      </c>
      <c r="H2806" t="s">
        <v>2051</v>
      </c>
    </row>
    <row r="2807" spans="4:8" x14ac:dyDescent="0.2">
      <c r="D2807" t="str">
        <f>"2396"</f>
        <v>2396</v>
      </c>
      <c r="H2807" t="s">
        <v>2052</v>
      </c>
    </row>
    <row r="2808" spans="4:8" x14ac:dyDescent="0.2">
      <c r="E2808" t="str">
        <f>"23961"</f>
        <v>23961</v>
      </c>
      <c r="H2808" t="s">
        <v>2053</v>
      </c>
    </row>
    <row r="2809" spans="4:8" x14ac:dyDescent="0.2">
      <c r="F2809" t="str">
        <f>"23961.1"</f>
        <v>23961.1</v>
      </c>
      <c r="H2809" t="s">
        <v>2053</v>
      </c>
    </row>
    <row r="2810" spans="4:8" x14ac:dyDescent="0.2">
      <c r="G2810" t="str">
        <f>"23961.11"</f>
        <v>23961.11</v>
      </c>
      <c r="H2810" t="s">
        <v>2054</v>
      </c>
    </row>
    <row r="2811" spans="4:8" x14ac:dyDescent="0.2">
      <c r="G2811" t="str">
        <f>"23961.12"</f>
        <v>23961.12</v>
      </c>
      <c r="H2811" t="s">
        <v>2055</v>
      </c>
    </row>
    <row r="2812" spans="4:8" x14ac:dyDescent="0.2">
      <c r="F2812" t="str">
        <f>"23961.9"</f>
        <v>23961.9</v>
      </c>
      <c r="H2812" t="s">
        <v>2056</v>
      </c>
    </row>
    <row r="2813" spans="4:8" x14ac:dyDescent="0.2">
      <c r="G2813" t="str">
        <f>"23961.90"</f>
        <v>23961.90</v>
      </c>
      <c r="H2813" t="s">
        <v>2056</v>
      </c>
    </row>
    <row r="2814" spans="4:8" x14ac:dyDescent="0.2">
      <c r="E2814" t="str">
        <f>"23969"</f>
        <v>23969</v>
      </c>
      <c r="H2814" t="s">
        <v>2057</v>
      </c>
    </row>
    <row r="2815" spans="4:8" x14ac:dyDescent="0.2">
      <c r="F2815" t="str">
        <f>"23969.1"</f>
        <v>23969.1</v>
      </c>
      <c r="H2815" t="s">
        <v>2058</v>
      </c>
    </row>
    <row r="2816" spans="4:8" x14ac:dyDescent="0.2">
      <c r="G2816" t="str">
        <f>"23969.10"</f>
        <v>23969.10</v>
      </c>
      <c r="H2816" t="s">
        <v>2058</v>
      </c>
    </row>
    <row r="2817" spans="4:8" x14ac:dyDescent="0.2">
      <c r="F2817" t="str">
        <f>"23969.2"</f>
        <v>23969.2</v>
      </c>
      <c r="H2817" t="s">
        <v>2059</v>
      </c>
    </row>
    <row r="2818" spans="4:8" x14ac:dyDescent="0.2">
      <c r="G2818" t="str">
        <f>"23969.20"</f>
        <v>23969.20</v>
      </c>
      <c r="H2818" t="s">
        <v>2059</v>
      </c>
    </row>
    <row r="2819" spans="4:8" x14ac:dyDescent="0.2">
      <c r="F2819" t="str">
        <f>"23969.9"</f>
        <v>23969.9</v>
      </c>
      <c r="H2819" t="s">
        <v>2060</v>
      </c>
    </row>
    <row r="2820" spans="4:8" x14ac:dyDescent="0.2">
      <c r="G2820" t="str">
        <f>"23969.90"</f>
        <v>23969.90</v>
      </c>
      <c r="H2820" t="s">
        <v>2060</v>
      </c>
    </row>
    <row r="2821" spans="4:8" x14ac:dyDescent="0.2">
      <c r="D2821" t="str">
        <f>"2399"</f>
        <v>2399</v>
      </c>
      <c r="H2821" t="s">
        <v>1980</v>
      </c>
    </row>
    <row r="2822" spans="4:8" x14ac:dyDescent="0.2">
      <c r="E2822" t="str">
        <f>"23991"</f>
        <v>23991</v>
      </c>
      <c r="H2822" t="s">
        <v>2061</v>
      </c>
    </row>
    <row r="2823" spans="4:8" x14ac:dyDescent="0.2">
      <c r="F2823" t="str">
        <f>"23991.1"</f>
        <v>23991.1</v>
      </c>
      <c r="H2823" t="s">
        <v>2061</v>
      </c>
    </row>
    <row r="2824" spans="4:8" x14ac:dyDescent="0.2">
      <c r="G2824" t="str">
        <f>"23991.11"</f>
        <v>23991.11</v>
      </c>
      <c r="H2824" t="s">
        <v>2062</v>
      </c>
    </row>
    <row r="2825" spans="4:8" x14ac:dyDescent="0.2">
      <c r="G2825" t="str">
        <f>"23991.12"</f>
        <v>23991.12</v>
      </c>
      <c r="H2825" t="s">
        <v>2063</v>
      </c>
    </row>
    <row r="2826" spans="4:8" x14ac:dyDescent="0.2">
      <c r="F2826" t="str">
        <f>"23991.9"</f>
        <v>23991.9</v>
      </c>
      <c r="H2826" t="s">
        <v>2064</v>
      </c>
    </row>
    <row r="2827" spans="4:8" x14ac:dyDescent="0.2">
      <c r="G2827" t="str">
        <f>"23991.90"</f>
        <v>23991.90</v>
      </c>
      <c r="H2827" t="s">
        <v>2064</v>
      </c>
    </row>
    <row r="2828" spans="4:8" x14ac:dyDescent="0.2">
      <c r="E2828" t="str">
        <f>"23992"</f>
        <v>23992</v>
      </c>
      <c r="H2828" t="s">
        <v>2065</v>
      </c>
    </row>
    <row r="2829" spans="4:8" x14ac:dyDescent="0.2">
      <c r="F2829" t="str">
        <f>"23992.1"</f>
        <v>23992.1</v>
      </c>
      <c r="H2829" t="s">
        <v>2066</v>
      </c>
    </row>
    <row r="2830" spans="4:8" x14ac:dyDescent="0.2">
      <c r="G2830" t="str">
        <f>"23992.10"</f>
        <v>23992.10</v>
      </c>
      <c r="H2830" t="s">
        <v>2066</v>
      </c>
    </row>
    <row r="2831" spans="4:8" x14ac:dyDescent="0.2">
      <c r="F2831" t="str">
        <f>"23992.9"</f>
        <v>23992.9</v>
      </c>
      <c r="H2831" t="s">
        <v>2067</v>
      </c>
    </row>
    <row r="2832" spans="4:8" x14ac:dyDescent="0.2">
      <c r="G2832" t="str">
        <f>"23992.90"</f>
        <v>23992.90</v>
      </c>
      <c r="H2832" t="s">
        <v>2067</v>
      </c>
    </row>
    <row r="2833" spans="2:8" x14ac:dyDescent="0.2">
      <c r="E2833" t="str">
        <f>"23999"</f>
        <v>23999</v>
      </c>
      <c r="H2833" t="s">
        <v>1980</v>
      </c>
    </row>
    <row r="2834" spans="2:8" x14ac:dyDescent="0.2">
      <c r="F2834" t="str">
        <f>"23999.1"</f>
        <v>23999.1</v>
      </c>
      <c r="H2834" t="s">
        <v>1980</v>
      </c>
    </row>
    <row r="2835" spans="2:8" x14ac:dyDescent="0.2">
      <c r="G2835" t="str">
        <f>"23999.11"</f>
        <v>23999.11</v>
      </c>
      <c r="H2835" t="s">
        <v>2068</v>
      </c>
    </row>
    <row r="2836" spans="2:8" x14ac:dyDescent="0.2">
      <c r="G2836" t="str">
        <f>"23999.12"</f>
        <v>23999.12</v>
      </c>
      <c r="H2836" t="s">
        <v>2069</v>
      </c>
    </row>
    <row r="2837" spans="2:8" x14ac:dyDescent="0.2">
      <c r="G2837" t="str">
        <f>"23999.13"</f>
        <v>23999.13</v>
      </c>
      <c r="H2837" t="s">
        <v>2070</v>
      </c>
    </row>
    <row r="2838" spans="2:8" x14ac:dyDescent="0.2">
      <c r="G2838" t="str">
        <f>"23999.14"</f>
        <v>23999.14</v>
      </c>
      <c r="H2838" t="s">
        <v>2071</v>
      </c>
    </row>
    <row r="2839" spans="2:8" x14ac:dyDescent="0.2">
      <c r="G2839" t="str">
        <f>"23999.15"</f>
        <v>23999.15</v>
      </c>
      <c r="H2839" t="s">
        <v>2072</v>
      </c>
    </row>
    <row r="2840" spans="2:8" x14ac:dyDescent="0.2">
      <c r="G2840" t="str">
        <f>"23999.19"</f>
        <v>23999.19</v>
      </c>
      <c r="H2840" t="s">
        <v>2073</v>
      </c>
    </row>
    <row r="2841" spans="2:8" x14ac:dyDescent="0.2">
      <c r="F2841" t="str">
        <f>"23999.9"</f>
        <v>23999.9</v>
      </c>
      <c r="H2841" t="s">
        <v>2074</v>
      </c>
    </row>
    <row r="2842" spans="2:8" x14ac:dyDescent="0.2">
      <c r="G2842" t="str">
        <f>"23999.90"</f>
        <v>23999.90</v>
      </c>
      <c r="H2842" t="s">
        <v>2074</v>
      </c>
    </row>
    <row r="2843" spans="2:8" x14ac:dyDescent="0.2">
      <c r="B2843" t="str">
        <f>"24"</f>
        <v>24</v>
      </c>
      <c r="H2843" t="s">
        <v>2075</v>
      </c>
    </row>
    <row r="2844" spans="2:8" x14ac:dyDescent="0.2">
      <c r="C2844" t="str">
        <f>"241"</f>
        <v>241</v>
      </c>
      <c r="H2844" t="s">
        <v>2076</v>
      </c>
    </row>
    <row r="2845" spans="2:8" x14ac:dyDescent="0.2">
      <c r="D2845" t="str">
        <f>"2410"</f>
        <v>2410</v>
      </c>
      <c r="H2845" t="s">
        <v>2076</v>
      </c>
    </row>
    <row r="2846" spans="2:8" x14ac:dyDescent="0.2">
      <c r="E2846" t="str">
        <f>"24101"</f>
        <v>24101</v>
      </c>
      <c r="H2846" t="s">
        <v>2077</v>
      </c>
    </row>
    <row r="2847" spans="2:8" x14ac:dyDescent="0.2">
      <c r="F2847" t="str">
        <f>"24101.1"</f>
        <v>24101.1</v>
      </c>
      <c r="H2847" t="s">
        <v>2078</v>
      </c>
    </row>
    <row r="2848" spans="2:8" x14ac:dyDescent="0.2">
      <c r="G2848" t="str">
        <f>"24101.11"</f>
        <v>24101.11</v>
      </c>
      <c r="H2848" t="s">
        <v>2079</v>
      </c>
    </row>
    <row r="2849" spans="5:8" x14ac:dyDescent="0.2">
      <c r="G2849" t="str">
        <f>"24101.12"</f>
        <v>24101.12</v>
      </c>
      <c r="H2849" t="s">
        <v>2080</v>
      </c>
    </row>
    <row r="2850" spans="5:8" x14ac:dyDescent="0.2">
      <c r="G2850" t="str">
        <f>"24101.13"</f>
        <v>24101.13</v>
      </c>
      <c r="H2850" t="s">
        <v>2081</v>
      </c>
    </row>
    <row r="2851" spans="5:8" x14ac:dyDescent="0.2">
      <c r="G2851" t="str">
        <f>"24101.14"</f>
        <v>24101.14</v>
      </c>
      <c r="H2851" t="s">
        <v>2082</v>
      </c>
    </row>
    <row r="2852" spans="5:8" x14ac:dyDescent="0.2">
      <c r="F2852" t="str">
        <f>"24101.2"</f>
        <v>24101.2</v>
      </c>
      <c r="H2852" t="s">
        <v>2083</v>
      </c>
    </row>
    <row r="2853" spans="5:8" x14ac:dyDescent="0.2">
      <c r="G2853" t="str">
        <f>"24101.21"</f>
        <v>24101.21</v>
      </c>
      <c r="H2853" t="s">
        <v>2084</v>
      </c>
    </row>
    <row r="2854" spans="5:8" x14ac:dyDescent="0.2">
      <c r="G2854" t="str">
        <f>"24101.22"</f>
        <v>24101.22</v>
      </c>
      <c r="H2854" t="s">
        <v>2085</v>
      </c>
    </row>
    <row r="2855" spans="5:8" x14ac:dyDescent="0.2">
      <c r="G2855" t="str">
        <f>"24101.23"</f>
        <v>24101.23</v>
      </c>
      <c r="H2855" t="s">
        <v>2086</v>
      </c>
    </row>
    <row r="2856" spans="5:8" x14ac:dyDescent="0.2">
      <c r="F2856" t="str">
        <f>"24101.9"</f>
        <v>24101.9</v>
      </c>
      <c r="H2856" t="s">
        <v>2087</v>
      </c>
    </row>
    <row r="2857" spans="5:8" x14ac:dyDescent="0.2">
      <c r="G2857" t="str">
        <f>"24101.90"</f>
        <v>24101.90</v>
      </c>
      <c r="H2857" t="s">
        <v>2087</v>
      </c>
    </row>
    <row r="2858" spans="5:8" x14ac:dyDescent="0.2">
      <c r="E2858" t="str">
        <f>"24102"</f>
        <v>24102</v>
      </c>
      <c r="H2858" t="s">
        <v>2088</v>
      </c>
    </row>
    <row r="2859" spans="5:8" x14ac:dyDescent="0.2">
      <c r="F2859" t="str">
        <f>"24102.1"</f>
        <v>24102.1</v>
      </c>
      <c r="H2859" t="s">
        <v>2089</v>
      </c>
    </row>
    <row r="2860" spans="5:8" x14ac:dyDescent="0.2">
      <c r="G2860" t="str">
        <f>"24102.11"</f>
        <v>24102.11</v>
      </c>
      <c r="H2860" t="s">
        <v>2090</v>
      </c>
    </row>
    <row r="2861" spans="5:8" x14ac:dyDescent="0.2">
      <c r="G2861" t="str">
        <f>"24102.12"</f>
        <v>24102.12</v>
      </c>
      <c r="H2861" t="s">
        <v>2091</v>
      </c>
    </row>
    <row r="2862" spans="5:8" x14ac:dyDescent="0.2">
      <c r="G2862" t="str">
        <f>"24102.13"</f>
        <v>24102.13</v>
      </c>
      <c r="H2862" t="s">
        <v>2092</v>
      </c>
    </row>
    <row r="2863" spans="5:8" x14ac:dyDescent="0.2">
      <c r="G2863" t="str">
        <f>"24102.14"</f>
        <v>24102.14</v>
      </c>
      <c r="H2863" t="s">
        <v>2093</v>
      </c>
    </row>
    <row r="2864" spans="5:8" x14ac:dyDescent="0.2">
      <c r="G2864" t="str">
        <f>"24102.15"</f>
        <v>24102.15</v>
      </c>
      <c r="H2864" t="s">
        <v>2094</v>
      </c>
    </row>
    <row r="2865" spans="6:8" x14ac:dyDescent="0.2">
      <c r="G2865" t="str">
        <f>"24102.16"</f>
        <v>24102.16</v>
      </c>
      <c r="H2865" t="s">
        <v>2095</v>
      </c>
    </row>
    <row r="2866" spans="6:8" x14ac:dyDescent="0.2">
      <c r="F2866" t="str">
        <f>"24102.2"</f>
        <v>24102.2</v>
      </c>
      <c r="H2866" t="s">
        <v>2096</v>
      </c>
    </row>
    <row r="2867" spans="6:8" x14ac:dyDescent="0.2">
      <c r="G2867" t="str">
        <f>"24102.21"</f>
        <v>24102.21</v>
      </c>
      <c r="H2867" t="s">
        <v>2097</v>
      </c>
    </row>
    <row r="2868" spans="6:8" x14ac:dyDescent="0.2">
      <c r="G2868" t="str">
        <f>"24102.22"</f>
        <v>24102.22</v>
      </c>
      <c r="H2868" t="s">
        <v>2098</v>
      </c>
    </row>
    <row r="2869" spans="6:8" x14ac:dyDescent="0.2">
      <c r="G2869" t="str">
        <f>"24102.23"</f>
        <v>24102.23</v>
      </c>
      <c r="H2869" t="s">
        <v>2099</v>
      </c>
    </row>
    <row r="2870" spans="6:8" x14ac:dyDescent="0.2">
      <c r="F2870" t="str">
        <f>"24102.3"</f>
        <v>24102.3</v>
      </c>
      <c r="H2870" t="s">
        <v>2100</v>
      </c>
    </row>
    <row r="2871" spans="6:8" x14ac:dyDescent="0.2">
      <c r="G2871" t="str">
        <f>"24102.31"</f>
        <v>24102.31</v>
      </c>
      <c r="H2871" t="s">
        <v>2101</v>
      </c>
    </row>
    <row r="2872" spans="6:8" x14ac:dyDescent="0.2">
      <c r="G2872" t="str">
        <f>"24102.32"</f>
        <v>24102.32</v>
      </c>
      <c r="H2872" t="s">
        <v>2102</v>
      </c>
    </row>
    <row r="2873" spans="6:8" x14ac:dyDescent="0.2">
      <c r="G2873" t="str">
        <f>"24102.33"</f>
        <v>24102.33</v>
      </c>
      <c r="H2873" t="s">
        <v>2103</v>
      </c>
    </row>
    <row r="2874" spans="6:8" x14ac:dyDescent="0.2">
      <c r="G2874" t="str">
        <f>"24102.34"</f>
        <v>24102.34</v>
      </c>
      <c r="H2874" t="s">
        <v>2104</v>
      </c>
    </row>
    <row r="2875" spans="6:8" x14ac:dyDescent="0.2">
      <c r="G2875" t="str">
        <f>"24102.35"</f>
        <v>24102.35</v>
      </c>
      <c r="H2875" t="s">
        <v>2105</v>
      </c>
    </row>
    <row r="2876" spans="6:8" x14ac:dyDescent="0.2">
      <c r="F2876" t="str">
        <f>"24102.4"</f>
        <v>24102.4</v>
      </c>
      <c r="H2876" t="s">
        <v>2106</v>
      </c>
    </row>
    <row r="2877" spans="6:8" x14ac:dyDescent="0.2">
      <c r="G2877" t="str">
        <f>"24102.40"</f>
        <v>24102.40</v>
      </c>
      <c r="H2877" t="s">
        <v>2106</v>
      </c>
    </row>
    <row r="2878" spans="6:8" x14ac:dyDescent="0.2">
      <c r="F2878" t="str">
        <f>"24102.5"</f>
        <v>24102.5</v>
      </c>
      <c r="H2878" t="s">
        <v>2107</v>
      </c>
    </row>
    <row r="2879" spans="6:8" x14ac:dyDescent="0.2">
      <c r="G2879" t="str">
        <f>"24102.50"</f>
        <v>24102.50</v>
      </c>
      <c r="H2879" t="s">
        <v>2107</v>
      </c>
    </row>
    <row r="2880" spans="6:8" x14ac:dyDescent="0.2">
      <c r="F2880" t="str">
        <f>"24102.9"</f>
        <v>24102.9</v>
      </c>
      <c r="H2880" t="s">
        <v>2108</v>
      </c>
    </row>
    <row r="2881" spans="5:8" x14ac:dyDescent="0.2">
      <c r="G2881" t="str">
        <f>"24102.90"</f>
        <v>24102.90</v>
      </c>
      <c r="H2881" t="s">
        <v>2108</v>
      </c>
    </row>
    <row r="2882" spans="5:8" x14ac:dyDescent="0.2">
      <c r="E2882" t="str">
        <f>"24103"</f>
        <v>24103</v>
      </c>
      <c r="H2882" t="s">
        <v>2109</v>
      </c>
    </row>
    <row r="2883" spans="5:8" x14ac:dyDescent="0.2">
      <c r="F2883" t="str">
        <f>"24103.1"</f>
        <v>24103.1</v>
      </c>
      <c r="H2883" t="s">
        <v>2110</v>
      </c>
    </row>
    <row r="2884" spans="5:8" x14ac:dyDescent="0.2">
      <c r="G2884" t="str">
        <f>"24103.11"</f>
        <v>24103.11</v>
      </c>
      <c r="H2884" t="s">
        <v>2111</v>
      </c>
    </row>
    <row r="2885" spans="5:8" x14ac:dyDescent="0.2">
      <c r="G2885" t="str">
        <f>"24103.12"</f>
        <v>24103.12</v>
      </c>
      <c r="H2885" t="s">
        <v>2112</v>
      </c>
    </row>
    <row r="2886" spans="5:8" x14ac:dyDescent="0.2">
      <c r="G2886" t="str">
        <f>"24103.13"</f>
        <v>24103.13</v>
      </c>
      <c r="H2886" t="s">
        <v>2113</v>
      </c>
    </row>
    <row r="2887" spans="5:8" x14ac:dyDescent="0.2">
      <c r="G2887" t="str">
        <f>"24103.14"</f>
        <v>24103.14</v>
      </c>
      <c r="H2887" t="s">
        <v>2114</v>
      </c>
    </row>
    <row r="2888" spans="5:8" x14ac:dyDescent="0.2">
      <c r="F2888" t="str">
        <f>"24103.2"</f>
        <v>24103.2</v>
      </c>
      <c r="H2888" t="s">
        <v>2115</v>
      </c>
    </row>
    <row r="2889" spans="5:8" x14ac:dyDescent="0.2">
      <c r="G2889" t="str">
        <f>"24103.21"</f>
        <v>24103.21</v>
      </c>
      <c r="H2889" t="s">
        <v>2116</v>
      </c>
    </row>
    <row r="2890" spans="5:8" x14ac:dyDescent="0.2">
      <c r="G2890" t="str">
        <f>"24103.22"</f>
        <v>24103.22</v>
      </c>
      <c r="H2890" t="s">
        <v>2117</v>
      </c>
    </row>
    <row r="2891" spans="5:8" x14ac:dyDescent="0.2">
      <c r="G2891" t="str">
        <f>"24103.23"</f>
        <v>24103.23</v>
      </c>
      <c r="H2891" t="s">
        <v>2118</v>
      </c>
    </row>
    <row r="2892" spans="5:8" x14ac:dyDescent="0.2">
      <c r="G2892" t="str">
        <f>"24103.24"</f>
        <v>24103.24</v>
      </c>
      <c r="H2892" t="s">
        <v>2119</v>
      </c>
    </row>
    <row r="2893" spans="5:8" x14ac:dyDescent="0.2">
      <c r="F2893" t="str">
        <f>"24103.3"</f>
        <v>24103.3</v>
      </c>
      <c r="H2893" t="s">
        <v>2120</v>
      </c>
    </row>
    <row r="2894" spans="5:8" x14ac:dyDescent="0.2">
      <c r="G2894" t="str">
        <f>"24103.31"</f>
        <v>24103.31</v>
      </c>
      <c r="H2894" t="s">
        <v>2116</v>
      </c>
    </row>
    <row r="2895" spans="5:8" x14ac:dyDescent="0.2">
      <c r="G2895" t="str">
        <f>"24103.32"</f>
        <v>24103.32</v>
      </c>
      <c r="H2895" t="s">
        <v>2121</v>
      </c>
    </row>
    <row r="2896" spans="5:8" x14ac:dyDescent="0.2">
      <c r="G2896" t="str">
        <f>"24103.33"</f>
        <v>24103.33</v>
      </c>
      <c r="H2896" t="s">
        <v>2122</v>
      </c>
    </row>
    <row r="2897" spans="5:8" x14ac:dyDescent="0.2">
      <c r="G2897" t="str">
        <f>"24103.34"</f>
        <v>24103.34</v>
      </c>
      <c r="H2897" t="s">
        <v>2123</v>
      </c>
    </row>
    <row r="2898" spans="5:8" x14ac:dyDescent="0.2">
      <c r="G2898" t="str">
        <f>"24103.35"</f>
        <v>24103.35</v>
      </c>
      <c r="H2898" t="s">
        <v>2124</v>
      </c>
    </row>
    <row r="2899" spans="5:8" x14ac:dyDescent="0.2">
      <c r="F2899" t="str">
        <f>"24103.4"</f>
        <v>24103.4</v>
      </c>
      <c r="H2899" t="s">
        <v>2125</v>
      </c>
    </row>
    <row r="2900" spans="5:8" x14ac:dyDescent="0.2">
      <c r="G2900" t="str">
        <f>"24103.40"</f>
        <v>24103.40</v>
      </c>
      <c r="H2900" t="s">
        <v>2125</v>
      </c>
    </row>
    <row r="2901" spans="5:8" x14ac:dyDescent="0.2">
      <c r="F2901" t="str">
        <f>"24103.9"</f>
        <v>24103.9</v>
      </c>
      <c r="H2901" t="s">
        <v>2126</v>
      </c>
    </row>
    <row r="2902" spans="5:8" x14ac:dyDescent="0.2">
      <c r="G2902" t="str">
        <f>"24103.90"</f>
        <v>24103.90</v>
      </c>
      <c r="H2902" t="s">
        <v>2126</v>
      </c>
    </row>
    <row r="2903" spans="5:8" x14ac:dyDescent="0.2">
      <c r="E2903" t="str">
        <f>"24109"</f>
        <v>24109</v>
      </c>
      <c r="H2903" t="s">
        <v>2127</v>
      </c>
    </row>
    <row r="2904" spans="5:8" x14ac:dyDescent="0.2">
      <c r="F2904" t="str">
        <f>"24109.1"</f>
        <v>24109.1</v>
      </c>
      <c r="H2904" t="s">
        <v>2128</v>
      </c>
    </row>
    <row r="2905" spans="5:8" x14ac:dyDescent="0.2">
      <c r="G2905" t="str">
        <f>"24109.11"</f>
        <v>24109.11</v>
      </c>
      <c r="H2905" t="s">
        <v>2129</v>
      </c>
    </row>
    <row r="2906" spans="5:8" x14ac:dyDescent="0.2">
      <c r="G2906" t="str">
        <f>"24109.12"</f>
        <v>24109.12</v>
      </c>
      <c r="H2906" t="s">
        <v>2130</v>
      </c>
    </row>
    <row r="2907" spans="5:8" x14ac:dyDescent="0.2">
      <c r="G2907" t="str">
        <f>"24109.13"</f>
        <v>24109.13</v>
      </c>
      <c r="H2907" t="s">
        <v>2131</v>
      </c>
    </row>
    <row r="2908" spans="5:8" x14ac:dyDescent="0.2">
      <c r="G2908" t="str">
        <f>"24109.14"</f>
        <v>24109.14</v>
      </c>
      <c r="H2908" t="s">
        <v>2132</v>
      </c>
    </row>
    <row r="2909" spans="5:8" x14ac:dyDescent="0.2">
      <c r="G2909" t="str">
        <f>"24109.15"</f>
        <v>24109.15</v>
      </c>
      <c r="H2909" t="s">
        <v>2133</v>
      </c>
    </row>
    <row r="2910" spans="5:8" x14ac:dyDescent="0.2">
      <c r="G2910" t="str">
        <f>"24109.16"</f>
        <v>24109.16</v>
      </c>
      <c r="H2910" t="s">
        <v>2134</v>
      </c>
    </row>
    <row r="2911" spans="5:8" x14ac:dyDescent="0.2">
      <c r="G2911" t="str">
        <f>"24109.17"</f>
        <v>24109.17</v>
      </c>
      <c r="H2911" t="s">
        <v>2135</v>
      </c>
    </row>
    <row r="2912" spans="5:8" x14ac:dyDescent="0.2">
      <c r="F2912" t="str">
        <f>"24109.2"</f>
        <v>24109.2</v>
      </c>
      <c r="H2912" t="s">
        <v>2136</v>
      </c>
    </row>
    <row r="2913" spans="6:8" x14ac:dyDescent="0.2">
      <c r="G2913" t="str">
        <f>"24109.21"</f>
        <v>24109.21</v>
      </c>
      <c r="H2913" t="s">
        <v>2137</v>
      </c>
    </row>
    <row r="2914" spans="6:8" x14ac:dyDescent="0.2">
      <c r="G2914" t="str">
        <f>"24109.22"</f>
        <v>24109.22</v>
      </c>
      <c r="H2914" t="s">
        <v>2138</v>
      </c>
    </row>
    <row r="2915" spans="6:8" x14ac:dyDescent="0.2">
      <c r="G2915" t="str">
        <f>"24109.23"</f>
        <v>24109.23</v>
      </c>
      <c r="H2915" t="s">
        <v>2139</v>
      </c>
    </row>
    <row r="2916" spans="6:8" x14ac:dyDescent="0.2">
      <c r="G2916" t="str">
        <f>"24109.24"</f>
        <v>24109.24</v>
      </c>
      <c r="H2916" t="s">
        <v>2140</v>
      </c>
    </row>
    <row r="2917" spans="6:8" x14ac:dyDescent="0.2">
      <c r="G2917" t="str">
        <f>"24109.25"</f>
        <v>24109.25</v>
      </c>
      <c r="H2917" t="s">
        <v>2141</v>
      </c>
    </row>
    <row r="2918" spans="6:8" x14ac:dyDescent="0.2">
      <c r="F2918" t="str">
        <f>"24109.3"</f>
        <v>24109.3</v>
      </c>
      <c r="H2918" t="s">
        <v>2142</v>
      </c>
    </row>
    <row r="2919" spans="6:8" x14ac:dyDescent="0.2">
      <c r="G2919" t="str">
        <f>"24109.31"</f>
        <v>24109.31</v>
      </c>
      <c r="H2919" t="s">
        <v>2143</v>
      </c>
    </row>
    <row r="2920" spans="6:8" x14ac:dyDescent="0.2">
      <c r="G2920" t="str">
        <f>"24109.32"</f>
        <v>24109.32</v>
      </c>
      <c r="H2920" t="s">
        <v>2144</v>
      </c>
    </row>
    <row r="2921" spans="6:8" x14ac:dyDescent="0.2">
      <c r="G2921" t="str">
        <f>"24109.33"</f>
        <v>24109.33</v>
      </c>
      <c r="H2921" t="s">
        <v>2145</v>
      </c>
    </row>
    <row r="2922" spans="6:8" x14ac:dyDescent="0.2">
      <c r="F2922" t="str">
        <f>"24109.4"</f>
        <v>24109.4</v>
      </c>
      <c r="H2922" t="s">
        <v>2146</v>
      </c>
    </row>
    <row r="2923" spans="6:8" x14ac:dyDescent="0.2">
      <c r="G2923" t="str">
        <f>"24109.41"</f>
        <v>24109.41</v>
      </c>
      <c r="H2923" t="s">
        <v>2147</v>
      </c>
    </row>
    <row r="2924" spans="6:8" x14ac:dyDescent="0.2">
      <c r="G2924" t="str">
        <f>"24109.42"</f>
        <v>24109.42</v>
      </c>
      <c r="H2924" t="s">
        <v>2148</v>
      </c>
    </row>
    <row r="2925" spans="6:8" x14ac:dyDescent="0.2">
      <c r="G2925" t="str">
        <f>"24109.43"</f>
        <v>24109.43</v>
      </c>
      <c r="H2925" t="s">
        <v>2149</v>
      </c>
    </row>
    <row r="2926" spans="6:8" x14ac:dyDescent="0.2">
      <c r="G2926" t="str">
        <f>"24109.44"</f>
        <v>24109.44</v>
      </c>
      <c r="H2926" t="s">
        <v>2138</v>
      </c>
    </row>
    <row r="2927" spans="6:8" x14ac:dyDescent="0.2">
      <c r="G2927" t="str">
        <f>"24109.45"</f>
        <v>24109.45</v>
      </c>
      <c r="H2927" t="s">
        <v>2150</v>
      </c>
    </row>
    <row r="2928" spans="6:8" x14ac:dyDescent="0.2">
      <c r="G2928" t="str">
        <f>"24109.46"</f>
        <v>24109.46</v>
      </c>
      <c r="H2928" t="s">
        <v>2151</v>
      </c>
    </row>
    <row r="2929" spans="3:8" x14ac:dyDescent="0.2">
      <c r="F2929" t="str">
        <f>"24109.5"</f>
        <v>24109.5</v>
      </c>
      <c r="H2929" t="s">
        <v>2152</v>
      </c>
    </row>
    <row r="2930" spans="3:8" x14ac:dyDescent="0.2">
      <c r="G2930" t="str">
        <f>"24109.51"</f>
        <v>24109.51</v>
      </c>
      <c r="H2930" t="s">
        <v>2153</v>
      </c>
    </row>
    <row r="2931" spans="3:8" x14ac:dyDescent="0.2">
      <c r="G2931" t="str">
        <f>"24109.52"</f>
        <v>24109.52</v>
      </c>
      <c r="H2931" t="s">
        <v>2154</v>
      </c>
    </row>
    <row r="2932" spans="3:8" x14ac:dyDescent="0.2">
      <c r="G2932" t="str">
        <f>"24109.53"</f>
        <v>24109.53</v>
      </c>
      <c r="H2932" t="s">
        <v>2155</v>
      </c>
    </row>
    <row r="2933" spans="3:8" x14ac:dyDescent="0.2">
      <c r="F2933" t="str">
        <f>"24109.9"</f>
        <v>24109.9</v>
      </c>
      <c r="H2933" t="s">
        <v>2156</v>
      </c>
    </row>
    <row r="2934" spans="3:8" x14ac:dyDescent="0.2">
      <c r="G2934" t="str">
        <f>"24109.91"</f>
        <v>24109.91</v>
      </c>
      <c r="H2934" t="s">
        <v>2157</v>
      </c>
    </row>
    <row r="2935" spans="3:8" x14ac:dyDescent="0.2">
      <c r="G2935" t="str">
        <f>"24109.92"</f>
        <v>24109.92</v>
      </c>
      <c r="H2935" t="s">
        <v>2158</v>
      </c>
    </row>
    <row r="2936" spans="3:8" x14ac:dyDescent="0.2">
      <c r="G2936" t="str">
        <f>"24109.93"</f>
        <v>24109.93</v>
      </c>
      <c r="H2936" t="s">
        <v>2159</v>
      </c>
    </row>
    <row r="2937" spans="3:8" x14ac:dyDescent="0.2">
      <c r="G2937" t="str">
        <f>"24109.94"</f>
        <v>24109.94</v>
      </c>
      <c r="H2937" t="s">
        <v>2160</v>
      </c>
    </row>
    <row r="2938" spans="3:8" x14ac:dyDescent="0.2">
      <c r="C2938" t="str">
        <f>"242"</f>
        <v>242</v>
      </c>
      <c r="H2938" t="s">
        <v>2161</v>
      </c>
    </row>
    <row r="2939" spans="3:8" x14ac:dyDescent="0.2">
      <c r="D2939" t="str">
        <f>"2420"</f>
        <v>2420</v>
      </c>
      <c r="H2939" t="s">
        <v>2161</v>
      </c>
    </row>
    <row r="2940" spans="3:8" x14ac:dyDescent="0.2">
      <c r="E2940" t="str">
        <f>"24201"</f>
        <v>24201</v>
      </c>
      <c r="H2940" t="s">
        <v>2162</v>
      </c>
    </row>
    <row r="2941" spans="3:8" x14ac:dyDescent="0.2">
      <c r="F2941" t="str">
        <f>"24201.1"</f>
        <v>24201.1</v>
      </c>
      <c r="H2941" t="s">
        <v>2163</v>
      </c>
    </row>
    <row r="2942" spans="3:8" x14ac:dyDescent="0.2">
      <c r="G2942" t="str">
        <f>"24201.10"</f>
        <v>24201.10</v>
      </c>
      <c r="H2942" t="s">
        <v>2163</v>
      </c>
    </row>
    <row r="2943" spans="3:8" x14ac:dyDescent="0.2">
      <c r="F2943" t="str">
        <f>"24201.2"</f>
        <v>24201.2</v>
      </c>
      <c r="H2943" t="s">
        <v>2164</v>
      </c>
    </row>
    <row r="2944" spans="3:8" x14ac:dyDescent="0.2">
      <c r="G2944" t="str">
        <f>"24201.20"</f>
        <v>24201.20</v>
      </c>
      <c r="H2944" t="s">
        <v>2164</v>
      </c>
    </row>
    <row r="2945" spans="5:8" x14ac:dyDescent="0.2">
      <c r="F2945" t="str">
        <f>"24201.3"</f>
        <v>24201.3</v>
      </c>
      <c r="H2945" t="s">
        <v>2165</v>
      </c>
    </row>
    <row r="2946" spans="5:8" x14ac:dyDescent="0.2">
      <c r="G2946" t="str">
        <f>"24201.30"</f>
        <v>24201.30</v>
      </c>
      <c r="H2946" t="s">
        <v>2165</v>
      </c>
    </row>
    <row r="2947" spans="5:8" x14ac:dyDescent="0.2">
      <c r="F2947" t="str">
        <f>"24201.4"</f>
        <v>24201.4</v>
      </c>
      <c r="H2947" t="s">
        <v>2166</v>
      </c>
    </row>
    <row r="2948" spans="5:8" x14ac:dyDescent="0.2">
      <c r="G2948" t="str">
        <f>"24201.40"</f>
        <v>24201.40</v>
      </c>
      <c r="H2948" t="s">
        <v>2166</v>
      </c>
    </row>
    <row r="2949" spans="5:8" x14ac:dyDescent="0.2">
      <c r="F2949" t="str">
        <f>"24201.5"</f>
        <v>24201.5</v>
      </c>
      <c r="H2949" t="s">
        <v>2167</v>
      </c>
    </row>
    <row r="2950" spans="5:8" x14ac:dyDescent="0.2">
      <c r="G2950" t="str">
        <f>"24201.50"</f>
        <v>24201.50</v>
      </c>
      <c r="H2950" t="s">
        <v>2167</v>
      </c>
    </row>
    <row r="2951" spans="5:8" x14ac:dyDescent="0.2">
      <c r="F2951" t="str">
        <f>"24201.9"</f>
        <v>24201.9</v>
      </c>
      <c r="H2951" t="s">
        <v>2168</v>
      </c>
    </row>
    <row r="2952" spans="5:8" x14ac:dyDescent="0.2">
      <c r="G2952" t="str">
        <f>"24201.90"</f>
        <v>24201.90</v>
      </c>
      <c r="H2952" t="s">
        <v>2168</v>
      </c>
    </row>
    <row r="2953" spans="5:8" x14ac:dyDescent="0.2">
      <c r="E2953" t="str">
        <f>"24202"</f>
        <v>24202</v>
      </c>
      <c r="H2953" t="s">
        <v>2169</v>
      </c>
    </row>
    <row r="2954" spans="5:8" x14ac:dyDescent="0.2">
      <c r="F2954" t="str">
        <f>"24202.1"</f>
        <v>24202.1</v>
      </c>
      <c r="H2954" t="s">
        <v>2170</v>
      </c>
    </row>
    <row r="2955" spans="5:8" x14ac:dyDescent="0.2">
      <c r="G2955" t="str">
        <f>"24202.11"</f>
        <v>24202.11</v>
      </c>
      <c r="H2955" t="s">
        <v>2171</v>
      </c>
    </row>
    <row r="2956" spans="5:8" x14ac:dyDescent="0.2">
      <c r="G2956" t="str">
        <f>"24202.12"</f>
        <v>24202.12</v>
      </c>
      <c r="H2956" t="s">
        <v>2172</v>
      </c>
    </row>
    <row r="2957" spans="5:8" x14ac:dyDescent="0.2">
      <c r="F2957" t="str">
        <f>"24202.2"</f>
        <v>24202.2</v>
      </c>
      <c r="H2957" t="s">
        <v>2173</v>
      </c>
    </row>
    <row r="2958" spans="5:8" x14ac:dyDescent="0.2">
      <c r="G2958" t="str">
        <f>"24202.21"</f>
        <v>24202.21</v>
      </c>
      <c r="H2958" t="s">
        <v>2174</v>
      </c>
    </row>
    <row r="2959" spans="5:8" x14ac:dyDescent="0.2">
      <c r="G2959" t="str">
        <f>"24202.22"</f>
        <v>24202.22</v>
      </c>
      <c r="H2959" t="s">
        <v>2175</v>
      </c>
    </row>
    <row r="2960" spans="5:8" x14ac:dyDescent="0.2">
      <c r="G2960" t="str">
        <f>"24202.23"</f>
        <v>24202.23</v>
      </c>
      <c r="H2960" t="s">
        <v>2176</v>
      </c>
    </row>
    <row r="2961" spans="5:8" x14ac:dyDescent="0.2">
      <c r="G2961" t="str">
        <f>"24202.24"</f>
        <v>24202.24</v>
      </c>
      <c r="H2961" t="s">
        <v>2177</v>
      </c>
    </row>
    <row r="2962" spans="5:8" x14ac:dyDescent="0.2">
      <c r="G2962" t="str">
        <f>"24202.25"</f>
        <v>24202.25</v>
      </c>
      <c r="H2962" t="s">
        <v>2178</v>
      </c>
    </row>
    <row r="2963" spans="5:8" x14ac:dyDescent="0.2">
      <c r="G2963" t="str">
        <f>"24202.26"</f>
        <v>24202.26</v>
      </c>
      <c r="H2963" t="s">
        <v>2179</v>
      </c>
    </row>
    <row r="2964" spans="5:8" x14ac:dyDescent="0.2">
      <c r="F2964" t="str">
        <f>"24202.9"</f>
        <v>24202.9</v>
      </c>
      <c r="H2964" t="s">
        <v>2180</v>
      </c>
    </row>
    <row r="2965" spans="5:8" x14ac:dyDescent="0.2">
      <c r="G2965" t="str">
        <f>"24202.90"</f>
        <v>24202.90</v>
      </c>
      <c r="H2965" t="s">
        <v>2180</v>
      </c>
    </row>
    <row r="2966" spans="5:8" x14ac:dyDescent="0.2">
      <c r="E2966" t="str">
        <f>"24203"</f>
        <v>24203</v>
      </c>
      <c r="H2966" t="s">
        <v>2181</v>
      </c>
    </row>
    <row r="2967" spans="5:8" x14ac:dyDescent="0.2">
      <c r="F2967" t="str">
        <f>"24203.1"</f>
        <v>24203.1</v>
      </c>
      <c r="H2967" t="s">
        <v>2182</v>
      </c>
    </row>
    <row r="2968" spans="5:8" x14ac:dyDescent="0.2">
      <c r="G2968" t="str">
        <f>"24203.11"</f>
        <v>24203.11</v>
      </c>
      <c r="H2968" t="s">
        <v>2183</v>
      </c>
    </row>
    <row r="2969" spans="5:8" x14ac:dyDescent="0.2">
      <c r="G2969" t="str">
        <f>"24203.12"</f>
        <v>24203.12</v>
      </c>
      <c r="H2969" t="s">
        <v>2184</v>
      </c>
    </row>
    <row r="2970" spans="5:8" x14ac:dyDescent="0.2">
      <c r="G2970" t="str">
        <f>"24203.13"</f>
        <v>24203.13</v>
      </c>
      <c r="H2970" t="s">
        <v>2185</v>
      </c>
    </row>
    <row r="2971" spans="5:8" x14ac:dyDescent="0.2">
      <c r="F2971" t="str">
        <f>"24203.2"</f>
        <v>24203.2</v>
      </c>
      <c r="H2971" t="s">
        <v>2186</v>
      </c>
    </row>
    <row r="2972" spans="5:8" x14ac:dyDescent="0.2">
      <c r="G2972" t="str">
        <f>"24203.21"</f>
        <v>24203.21</v>
      </c>
      <c r="H2972" t="s">
        <v>2187</v>
      </c>
    </row>
    <row r="2973" spans="5:8" x14ac:dyDescent="0.2">
      <c r="G2973" t="str">
        <f>"24203.22"</f>
        <v>24203.22</v>
      </c>
      <c r="H2973" t="s">
        <v>2188</v>
      </c>
    </row>
    <row r="2974" spans="5:8" x14ac:dyDescent="0.2">
      <c r="G2974" t="str">
        <f>"24203.23"</f>
        <v>24203.23</v>
      </c>
      <c r="H2974" t="s">
        <v>2189</v>
      </c>
    </row>
    <row r="2975" spans="5:8" x14ac:dyDescent="0.2">
      <c r="F2975" t="str">
        <f>"24203.3"</f>
        <v>24203.3</v>
      </c>
      <c r="H2975" t="s">
        <v>2190</v>
      </c>
    </row>
    <row r="2976" spans="5:8" x14ac:dyDescent="0.2">
      <c r="G2976" t="str">
        <f>"24203.31"</f>
        <v>24203.31</v>
      </c>
      <c r="H2976" t="s">
        <v>2191</v>
      </c>
    </row>
    <row r="2977" spans="5:8" x14ac:dyDescent="0.2">
      <c r="G2977" t="str">
        <f>"24203.32"</f>
        <v>24203.32</v>
      </c>
      <c r="H2977" t="s">
        <v>2192</v>
      </c>
    </row>
    <row r="2978" spans="5:8" x14ac:dyDescent="0.2">
      <c r="G2978" t="str">
        <f>"24203.33"</f>
        <v>24203.33</v>
      </c>
      <c r="H2978" t="s">
        <v>2193</v>
      </c>
    </row>
    <row r="2979" spans="5:8" x14ac:dyDescent="0.2">
      <c r="F2979" t="str">
        <f>"24203.4"</f>
        <v>24203.4</v>
      </c>
      <c r="H2979" t="s">
        <v>2194</v>
      </c>
    </row>
    <row r="2980" spans="5:8" x14ac:dyDescent="0.2">
      <c r="G2980" t="str">
        <f>"24203.41"</f>
        <v>24203.41</v>
      </c>
      <c r="H2980" t="s">
        <v>2195</v>
      </c>
    </row>
    <row r="2981" spans="5:8" x14ac:dyDescent="0.2">
      <c r="G2981" t="str">
        <f>"24203.42"</f>
        <v>24203.42</v>
      </c>
      <c r="H2981" t="s">
        <v>2196</v>
      </c>
    </row>
    <row r="2982" spans="5:8" x14ac:dyDescent="0.2">
      <c r="G2982" t="str">
        <f>"24203.43"</f>
        <v>24203.43</v>
      </c>
      <c r="H2982" t="s">
        <v>2197</v>
      </c>
    </row>
    <row r="2983" spans="5:8" x14ac:dyDescent="0.2">
      <c r="F2983" t="str">
        <f>"24203.9"</f>
        <v>24203.9</v>
      </c>
      <c r="H2983" t="s">
        <v>2198</v>
      </c>
    </row>
    <row r="2984" spans="5:8" x14ac:dyDescent="0.2">
      <c r="G2984" t="str">
        <f>"24203.90"</f>
        <v>24203.90</v>
      </c>
      <c r="H2984" t="s">
        <v>2198</v>
      </c>
    </row>
    <row r="2985" spans="5:8" x14ac:dyDescent="0.2">
      <c r="E2985" t="str">
        <f>"24204"</f>
        <v>24204</v>
      </c>
      <c r="H2985" t="s">
        <v>2199</v>
      </c>
    </row>
    <row r="2986" spans="5:8" x14ac:dyDescent="0.2">
      <c r="F2986" t="str">
        <f>"24204.1"</f>
        <v>24204.1</v>
      </c>
      <c r="H2986" t="s">
        <v>2200</v>
      </c>
    </row>
    <row r="2987" spans="5:8" x14ac:dyDescent="0.2">
      <c r="G2987" t="str">
        <f>"24204.11"</f>
        <v>24204.11</v>
      </c>
      <c r="H2987" t="s">
        <v>2201</v>
      </c>
    </row>
    <row r="2988" spans="5:8" x14ac:dyDescent="0.2">
      <c r="G2988" t="str">
        <f>"24204.12"</f>
        <v>24204.12</v>
      </c>
      <c r="H2988" t="s">
        <v>2202</v>
      </c>
    </row>
    <row r="2989" spans="5:8" x14ac:dyDescent="0.2">
      <c r="G2989" t="str">
        <f>"24204.13"</f>
        <v>24204.13</v>
      </c>
      <c r="H2989" t="s">
        <v>2203</v>
      </c>
    </row>
    <row r="2990" spans="5:8" x14ac:dyDescent="0.2">
      <c r="F2990" t="str">
        <f>"24204.2"</f>
        <v>24204.2</v>
      </c>
      <c r="H2990" t="s">
        <v>2204</v>
      </c>
    </row>
    <row r="2991" spans="5:8" x14ac:dyDescent="0.2">
      <c r="G2991" t="str">
        <f>"24204.21"</f>
        <v>24204.21</v>
      </c>
      <c r="H2991" t="s">
        <v>2205</v>
      </c>
    </row>
    <row r="2992" spans="5:8" x14ac:dyDescent="0.2">
      <c r="G2992" t="str">
        <f>"24204.22"</f>
        <v>24204.22</v>
      </c>
      <c r="H2992" t="s">
        <v>2206</v>
      </c>
    </row>
    <row r="2993" spans="5:8" x14ac:dyDescent="0.2">
      <c r="G2993" t="str">
        <f>"24204.23"</f>
        <v>24204.23</v>
      </c>
      <c r="H2993" t="s">
        <v>2207</v>
      </c>
    </row>
    <row r="2994" spans="5:8" x14ac:dyDescent="0.2">
      <c r="G2994" t="str">
        <f>"24204.24"</f>
        <v>24204.24</v>
      </c>
      <c r="H2994" t="s">
        <v>2208</v>
      </c>
    </row>
    <row r="2995" spans="5:8" x14ac:dyDescent="0.2">
      <c r="G2995" t="str">
        <f>"24204.25"</f>
        <v>24204.25</v>
      </c>
      <c r="H2995" t="s">
        <v>2209</v>
      </c>
    </row>
    <row r="2996" spans="5:8" x14ac:dyDescent="0.2">
      <c r="G2996" t="str">
        <f>"24204.26"</f>
        <v>24204.26</v>
      </c>
      <c r="H2996" t="s">
        <v>2210</v>
      </c>
    </row>
    <row r="2997" spans="5:8" x14ac:dyDescent="0.2">
      <c r="F2997" t="str">
        <f>"24204.9"</f>
        <v>24204.9</v>
      </c>
      <c r="H2997" t="s">
        <v>2211</v>
      </c>
    </row>
    <row r="2998" spans="5:8" x14ac:dyDescent="0.2">
      <c r="G2998" t="str">
        <f>"24204.90"</f>
        <v>24204.90</v>
      </c>
      <c r="H2998" t="s">
        <v>2211</v>
      </c>
    </row>
    <row r="2999" spans="5:8" x14ac:dyDescent="0.2">
      <c r="E2999" t="str">
        <f>"24209"</f>
        <v>24209</v>
      </c>
      <c r="H2999" t="s">
        <v>2212</v>
      </c>
    </row>
    <row r="3000" spans="5:8" x14ac:dyDescent="0.2">
      <c r="F3000" t="str">
        <f>"24209.1"</f>
        <v>24209.1</v>
      </c>
      <c r="H3000" t="s">
        <v>2213</v>
      </c>
    </row>
    <row r="3001" spans="5:8" x14ac:dyDescent="0.2">
      <c r="G3001" t="str">
        <f>"24209.11"</f>
        <v>24209.11</v>
      </c>
      <c r="H3001" t="s">
        <v>2214</v>
      </c>
    </row>
    <row r="3002" spans="5:8" x14ac:dyDescent="0.2">
      <c r="G3002" t="str">
        <f>"24209.12"</f>
        <v>24209.12</v>
      </c>
      <c r="H3002" t="s">
        <v>2215</v>
      </c>
    </row>
    <row r="3003" spans="5:8" x14ac:dyDescent="0.2">
      <c r="F3003" t="str">
        <f>"24209.2"</f>
        <v>24209.2</v>
      </c>
      <c r="H3003" t="s">
        <v>2216</v>
      </c>
    </row>
    <row r="3004" spans="5:8" x14ac:dyDescent="0.2">
      <c r="G3004" t="str">
        <f>"24209.21"</f>
        <v>24209.21</v>
      </c>
      <c r="H3004" t="s">
        <v>2217</v>
      </c>
    </row>
    <row r="3005" spans="5:8" x14ac:dyDescent="0.2">
      <c r="G3005" t="str">
        <f>"24209.22"</f>
        <v>24209.22</v>
      </c>
      <c r="H3005" t="s">
        <v>2218</v>
      </c>
    </row>
    <row r="3006" spans="5:8" x14ac:dyDescent="0.2">
      <c r="G3006" t="str">
        <f>"24209.23"</f>
        <v>24209.23</v>
      </c>
      <c r="H3006" t="s">
        <v>2219</v>
      </c>
    </row>
    <row r="3007" spans="5:8" x14ac:dyDescent="0.2">
      <c r="G3007" t="str">
        <f>"24209.24"</f>
        <v>24209.24</v>
      </c>
      <c r="H3007" t="s">
        <v>2220</v>
      </c>
    </row>
    <row r="3008" spans="5:8" x14ac:dyDescent="0.2">
      <c r="F3008" t="str">
        <f>"24209.3"</f>
        <v>24209.3</v>
      </c>
      <c r="H3008" t="s">
        <v>2221</v>
      </c>
    </row>
    <row r="3009" spans="3:8" x14ac:dyDescent="0.2">
      <c r="G3009" t="str">
        <f>"24209.30"</f>
        <v>24209.30</v>
      </c>
      <c r="H3009" t="s">
        <v>2221</v>
      </c>
    </row>
    <row r="3010" spans="3:8" x14ac:dyDescent="0.2">
      <c r="F3010" t="str">
        <f>"24209.4"</f>
        <v>24209.4</v>
      </c>
      <c r="H3010" t="s">
        <v>2222</v>
      </c>
    </row>
    <row r="3011" spans="3:8" x14ac:dyDescent="0.2">
      <c r="G3011" t="str">
        <f>"24209.40"</f>
        <v>24209.40</v>
      </c>
      <c r="H3011" t="s">
        <v>2222</v>
      </c>
    </row>
    <row r="3012" spans="3:8" x14ac:dyDescent="0.2">
      <c r="F3012" t="str">
        <f>"24209.9"</f>
        <v>24209.9</v>
      </c>
      <c r="H3012" t="s">
        <v>2223</v>
      </c>
    </row>
    <row r="3013" spans="3:8" x14ac:dyDescent="0.2">
      <c r="G3013" t="str">
        <f>"24209.90"</f>
        <v>24209.90</v>
      </c>
      <c r="H3013" t="s">
        <v>2223</v>
      </c>
    </row>
    <row r="3014" spans="3:8" x14ac:dyDescent="0.2">
      <c r="C3014" t="str">
        <f>"243"</f>
        <v>243</v>
      </c>
      <c r="H3014" t="s">
        <v>2224</v>
      </c>
    </row>
    <row r="3015" spans="3:8" x14ac:dyDescent="0.2">
      <c r="D3015" t="str">
        <f>"2431"</f>
        <v>2431</v>
      </c>
      <c r="H3015" t="s">
        <v>2225</v>
      </c>
    </row>
    <row r="3016" spans="3:8" x14ac:dyDescent="0.2">
      <c r="E3016" t="str">
        <f>"24311"</f>
        <v>24311</v>
      </c>
      <c r="H3016" t="s">
        <v>2226</v>
      </c>
    </row>
    <row r="3017" spans="3:8" x14ac:dyDescent="0.2">
      <c r="F3017" t="str">
        <f>"24311.1"</f>
        <v>24311.1</v>
      </c>
      <c r="H3017" t="s">
        <v>2226</v>
      </c>
    </row>
    <row r="3018" spans="3:8" x14ac:dyDescent="0.2">
      <c r="G3018" t="str">
        <f>"24311.11"</f>
        <v>24311.11</v>
      </c>
      <c r="H3018" t="s">
        <v>2227</v>
      </c>
    </row>
    <row r="3019" spans="3:8" x14ac:dyDescent="0.2">
      <c r="G3019" t="str">
        <f>"24311.12"</f>
        <v>24311.12</v>
      </c>
      <c r="H3019" t="s">
        <v>2228</v>
      </c>
    </row>
    <row r="3020" spans="3:8" x14ac:dyDescent="0.2">
      <c r="G3020" t="str">
        <f>"24311.13"</f>
        <v>24311.13</v>
      </c>
      <c r="H3020" t="s">
        <v>2229</v>
      </c>
    </row>
    <row r="3021" spans="3:8" x14ac:dyDescent="0.2">
      <c r="F3021" t="str">
        <f>"24311.2"</f>
        <v>24311.2</v>
      </c>
      <c r="H3021" t="s">
        <v>2230</v>
      </c>
    </row>
    <row r="3022" spans="3:8" x14ac:dyDescent="0.2">
      <c r="G3022" t="str">
        <f>"24311.20"</f>
        <v>24311.20</v>
      </c>
      <c r="H3022" t="s">
        <v>2230</v>
      </c>
    </row>
    <row r="3023" spans="3:8" x14ac:dyDescent="0.2">
      <c r="F3023" t="str">
        <f>"24311.3"</f>
        <v>24311.3</v>
      </c>
      <c r="H3023" t="s">
        <v>2231</v>
      </c>
    </row>
    <row r="3024" spans="3:8" x14ac:dyDescent="0.2">
      <c r="G3024" t="str">
        <f>"24311.30"</f>
        <v>24311.30</v>
      </c>
      <c r="H3024" t="s">
        <v>2231</v>
      </c>
    </row>
    <row r="3025" spans="2:8" x14ac:dyDescent="0.2">
      <c r="E3025" t="str">
        <f>"24312"</f>
        <v>24312</v>
      </c>
      <c r="H3025" t="s">
        <v>2232</v>
      </c>
    </row>
    <row r="3026" spans="2:8" x14ac:dyDescent="0.2">
      <c r="F3026" t="str">
        <f>"24312.1"</f>
        <v>24312.1</v>
      </c>
      <c r="H3026" t="s">
        <v>2232</v>
      </c>
    </row>
    <row r="3027" spans="2:8" x14ac:dyDescent="0.2">
      <c r="G3027" t="str">
        <f>"24312.10"</f>
        <v>24312.10</v>
      </c>
      <c r="H3027" t="s">
        <v>2232</v>
      </c>
    </row>
    <row r="3028" spans="2:8" x14ac:dyDescent="0.2">
      <c r="F3028" t="str">
        <f>"24312.2"</f>
        <v>24312.2</v>
      </c>
      <c r="H3028" t="s">
        <v>2233</v>
      </c>
    </row>
    <row r="3029" spans="2:8" x14ac:dyDescent="0.2">
      <c r="G3029" t="str">
        <f>"24312.20"</f>
        <v>24312.20</v>
      </c>
      <c r="H3029" t="s">
        <v>2233</v>
      </c>
    </row>
    <row r="3030" spans="2:8" x14ac:dyDescent="0.2">
      <c r="F3030" t="str">
        <f>"24312.3"</f>
        <v>24312.3</v>
      </c>
      <c r="H3030" t="s">
        <v>2234</v>
      </c>
    </row>
    <row r="3031" spans="2:8" x14ac:dyDescent="0.2">
      <c r="G3031" t="str">
        <f>"24312.30"</f>
        <v>24312.30</v>
      </c>
      <c r="H3031" t="s">
        <v>2234</v>
      </c>
    </row>
    <row r="3032" spans="2:8" x14ac:dyDescent="0.2">
      <c r="D3032" t="str">
        <f>"2432"</f>
        <v>2432</v>
      </c>
      <c r="H3032" t="s">
        <v>2235</v>
      </c>
    </row>
    <row r="3033" spans="2:8" x14ac:dyDescent="0.2">
      <c r="E3033" t="str">
        <f>"24320"</f>
        <v>24320</v>
      </c>
      <c r="H3033" t="s">
        <v>2235</v>
      </c>
    </row>
    <row r="3034" spans="2:8" x14ac:dyDescent="0.2">
      <c r="F3034" t="str">
        <f>"24320.1"</f>
        <v>24320.1</v>
      </c>
      <c r="H3034" t="s">
        <v>2236</v>
      </c>
    </row>
    <row r="3035" spans="2:8" x14ac:dyDescent="0.2">
      <c r="G3035" t="str">
        <f>"24320.10"</f>
        <v>24320.10</v>
      </c>
      <c r="H3035" t="s">
        <v>2236</v>
      </c>
    </row>
    <row r="3036" spans="2:8" x14ac:dyDescent="0.2">
      <c r="F3036" t="str">
        <f>"24320.2"</f>
        <v>24320.2</v>
      </c>
      <c r="H3036" t="s">
        <v>2235</v>
      </c>
    </row>
    <row r="3037" spans="2:8" x14ac:dyDescent="0.2">
      <c r="G3037" t="str">
        <f>"24320.20"</f>
        <v>24320.20</v>
      </c>
      <c r="H3037" t="s">
        <v>2235</v>
      </c>
    </row>
    <row r="3038" spans="2:8" x14ac:dyDescent="0.2">
      <c r="B3038" t="str">
        <f>"25"</f>
        <v>25</v>
      </c>
      <c r="H3038" t="s">
        <v>2237</v>
      </c>
    </row>
    <row r="3039" spans="2:8" x14ac:dyDescent="0.2">
      <c r="C3039" t="str">
        <f>"251"</f>
        <v>251</v>
      </c>
      <c r="H3039" t="s">
        <v>2238</v>
      </c>
    </row>
    <row r="3040" spans="2:8" x14ac:dyDescent="0.2">
      <c r="D3040" t="str">
        <f>"2511"</f>
        <v>2511</v>
      </c>
      <c r="H3040" t="s">
        <v>2239</v>
      </c>
    </row>
    <row r="3041" spans="5:8" x14ac:dyDescent="0.2">
      <c r="E3041" t="str">
        <f>"25111"</f>
        <v>25111</v>
      </c>
      <c r="H3041" t="s">
        <v>2240</v>
      </c>
    </row>
    <row r="3042" spans="5:8" x14ac:dyDescent="0.2">
      <c r="F3042" t="str">
        <f>"25111.1"</f>
        <v>25111.1</v>
      </c>
      <c r="H3042" t="s">
        <v>2241</v>
      </c>
    </row>
    <row r="3043" spans="5:8" x14ac:dyDescent="0.2">
      <c r="G3043" t="str">
        <f>"25111.11"</f>
        <v>25111.11</v>
      </c>
      <c r="H3043" t="s">
        <v>2242</v>
      </c>
    </row>
    <row r="3044" spans="5:8" x14ac:dyDescent="0.2">
      <c r="G3044" t="str">
        <f>"25111.12"</f>
        <v>25111.12</v>
      </c>
      <c r="H3044" t="s">
        <v>2243</v>
      </c>
    </row>
    <row r="3045" spans="5:8" x14ac:dyDescent="0.2">
      <c r="G3045" t="str">
        <f>"25111.13"</f>
        <v>25111.13</v>
      </c>
      <c r="H3045" t="s">
        <v>2244</v>
      </c>
    </row>
    <row r="3046" spans="5:8" x14ac:dyDescent="0.2">
      <c r="F3046" t="str">
        <f>"25111.9"</f>
        <v>25111.9</v>
      </c>
      <c r="H3046" t="s">
        <v>2245</v>
      </c>
    </row>
    <row r="3047" spans="5:8" x14ac:dyDescent="0.2">
      <c r="G3047" t="str">
        <f>"25111.90"</f>
        <v>25111.90</v>
      </c>
      <c r="H3047" t="s">
        <v>2245</v>
      </c>
    </row>
    <row r="3048" spans="5:8" x14ac:dyDescent="0.2">
      <c r="E3048" t="str">
        <f>"25112"</f>
        <v>25112</v>
      </c>
      <c r="H3048" t="s">
        <v>2246</v>
      </c>
    </row>
    <row r="3049" spans="5:8" x14ac:dyDescent="0.2">
      <c r="F3049" t="str">
        <f>"25112.1"</f>
        <v>25112.1</v>
      </c>
      <c r="H3049" t="s">
        <v>2247</v>
      </c>
    </row>
    <row r="3050" spans="5:8" x14ac:dyDescent="0.2">
      <c r="G3050" t="str">
        <f>"25112.10"</f>
        <v>25112.10</v>
      </c>
      <c r="H3050" t="s">
        <v>2247</v>
      </c>
    </row>
    <row r="3051" spans="5:8" x14ac:dyDescent="0.2">
      <c r="F3051" t="str">
        <f>"25112.9"</f>
        <v>25112.9</v>
      </c>
      <c r="H3051" t="s">
        <v>2248</v>
      </c>
    </row>
    <row r="3052" spans="5:8" x14ac:dyDescent="0.2">
      <c r="G3052" t="str">
        <f>"25112.90"</f>
        <v>25112.90</v>
      </c>
      <c r="H3052" t="s">
        <v>2248</v>
      </c>
    </row>
    <row r="3053" spans="5:8" x14ac:dyDescent="0.2">
      <c r="E3053" t="str">
        <f>"25113"</f>
        <v>25113</v>
      </c>
      <c r="H3053" t="s">
        <v>2249</v>
      </c>
    </row>
    <row r="3054" spans="5:8" x14ac:dyDescent="0.2">
      <c r="F3054" t="str">
        <f>"25113.1"</f>
        <v>25113.1</v>
      </c>
      <c r="H3054" t="s">
        <v>2250</v>
      </c>
    </row>
    <row r="3055" spans="5:8" x14ac:dyDescent="0.2">
      <c r="G3055" t="str">
        <f>"25113.10"</f>
        <v>25113.10</v>
      </c>
      <c r="H3055" t="s">
        <v>2250</v>
      </c>
    </row>
    <row r="3056" spans="5:8" x14ac:dyDescent="0.2">
      <c r="F3056" t="str">
        <f>"25113.9"</f>
        <v>25113.9</v>
      </c>
      <c r="H3056" t="s">
        <v>2251</v>
      </c>
    </row>
    <row r="3057" spans="4:8" x14ac:dyDescent="0.2">
      <c r="G3057" t="str">
        <f>"25113.90"</f>
        <v>25113.90</v>
      </c>
      <c r="H3057" t="s">
        <v>2251</v>
      </c>
    </row>
    <row r="3058" spans="4:8" x14ac:dyDescent="0.2">
      <c r="E3058" t="str">
        <f>"25119"</f>
        <v>25119</v>
      </c>
      <c r="H3058" t="s">
        <v>2252</v>
      </c>
    </row>
    <row r="3059" spans="4:8" x14ac:dyDescent="0.2">
      <c r="F3059" t="str">
        <f>"25119.1"</f>
        <v>25119.1</v>
      </c>
      <c r="H3059" t="s">
        <v>2253</v>
      </c>
    </row>
    <row r="3060" spans="4:8" x14ac:dyDescent="0.2">
      <c r="G3060" t="str">
        <f>"25119.10"</f>
        <v>25119.10</v>
      </c>
      <c r="H3060" t="s">
        <v>2253</v>
      </c>
    </row>
    <row r="3061" spans="4:8" x14ac:dyDescent="0.2">
      <c r="F3061" t="str">
        <f>"25119.9"</f>
        <v>25119.9</v>
      </c>
      <c r="H3061" t="s">
        <v>2254</v>
      </c>
    </row>
    <row r="3062" spans="4:8" x14ac:dyDescent="0.2">
      <c r="G3062" t="str">
        <f>"25119.90"</f>
        <v>25119.90</v>
      </c>
      <c r="H3062" t="s">
        <v>2254</v>
      </c>
    </row>
    <row r="3063" spans="4:8" x14ac:dyDescent="0.2">
      <c r="D3063" t="str">
        <f>"2512"</f>
        <v>2512</v>
      </c>
      <c r="H3063" t="s">
        <v>2255</v>
      </c>
    </row>
    <row r="3064" spans="4:8" x14ac:dyDescent="0.2">
      <c r="E3064" t="str">
        <f>"25121"</f>
        <v>25121</v>
      </c>
      <c r="H3064" t="s">
        <v>2256</v>
      </c>
    </row>
    <row r="3065" spans="4:8" x14ac:dyDescent="0.2">
      <c r="F3065" t="str">
        <f>"25121.1"</f>
        <v>25121.1</v>
      </c>
      <c r="H3065" t="s">
        <v>2257</v>
      </c>
    </row>
    <row r="3066" spans="4:8" x14ac:dyDescent="0.2">
      <c r="G3066" t="str">
        <f>"25121.11"</f>
        <v>25121.11</v>
      </c>
      <c r="H3066" t="s">
        <v>2258</v>
      </c>
    </row>
    <row r="3067" spans="4:8" x14ac:dyDescent="0.2">
      <c r="G3067" t="str">
        <f>"25121.12"</f>
        <v>25121.12</v>
      </c>
      <c r="H3067" t="s">
        <v>2259</v>
      </c>
    </row>
    <row r="3068" spans="4:8" x14ac:dyDescent="0.2">
      <c r="G3068" t="str">
        <f>"25121.13"</f>
        <v>25121.13</v>
      </c>
      <c r="H3068" t="s">
        <v>2260</v>
      </c>
    </row>
    <row r="3069" spans="4:8" x14ac:dyDescent="0.2">
      <c r="F3069" t="str">
        <f>"25121.9"</f>
        <v>25121.9</v>
      </c>
      <c r="H3069" t="s">
        <v>2261</v>
      </c>
    </row>
    <row r="3070" spans="4:8" x14ac:dyDescent="0.2">
      <c r="G3070" t="str">
        <f>"25121.90"</f>
        <v>25121.90</v>
      </c>
      <c r="H3070" t="s">
        <v>2261</v>
      </c>
    </row>
    <row r="3071" spans="4:8" x14ac:dyDescent="0.2">
      <c r="E3071" t="str">
        <f>"25122"</f>
        <v>25122</v>
      </c>
      <c r="H3071" t="s">
        <v>2262</v>
      </c>
    </row>
    <row r="3072" spans="4:8" x14ac:dyDescent="0.2">
      <c r="F3072" t="str">
        <f>"25122.1"</f>
        <v>25122.1</v>
      </c>
      <c r="H3072" t="s">
        <v>2263</v>
      </c>
    </row>
    <row r="3073" spans="4:8" x14ac:dyDescent="0.2">
      <c r="G3073" t="str">
        <f>"25122.10"</f>
        <v>25122.10</v>
      </c>
      <c r="H3073" t="s">
        <v>2263</v>
      </c>
    </row>
    <row r="3074" spans="4:8" x14ac:dyDescent="0.2">
      <c r="F3074" t="str">
        <f>"25122.9"</f>
        <v>25122.9</v>
      </c>
      <c r="H3074" t="s">
        <v>2264</v>
      </c>
    </row>
    <row r="3075" spans="4:8" x14ac:dyDescent="0.2">
      <c r="G3075" t="str">
        <f>"25122.90"</f>
        <v>25122.90</v>
      </c>
      <c r="H3075" t="s">
        <v>2264</v>
      </c>
    </row>
    <row r="3076" spans="4:8" x14ac:dyDescent="0.2">
      <c r="E3076" t="str">
        <f>"25129"</f>
        <v>25129</v>
      </c>
      <c r="H3076" t="s">
        <v>2265</v>
      </c>
    </row>
    <row r="3077" spans="4:8" x14ac:dyDescent="0.2">
      <c r="F3077" t="str">
        <f>"25129.1"</f>
        <v>25129.1</v>
      </c>
      <c r="H3077" t="s">
        <v>2266</v>
      </c>
    </row>
    <row r="3078" spans="4:8" x14ac:dyDescent="0.2">
      <c r="G3078" t="str">
        <f>"25129.10"</f>
        <v>25129.10</v>
      </c>
      <c r="H3078" t="s">
        <v>2266</v>
      </c>
    </row>
    <row r="3079" spans="4:8" x14ac:dyDescent="0.2">
      <c r="F3079" t="str">
        <f>"25129.9"</f>
        <v>25129.9</v>
      </c>
      <c r="H3079" t="s">
        <v>2267</v>
      </c>
    </row>
    <row r="3080" spans="4:8" x14ac:dyDescent="0.2">
      <c r="G3080" t="str">
        <f>"25129.90"</f>
        <v>25129.90</v>
      </c>
      <c r="H3080" t="s">
        <v>2267</v>
      </c>
    </row>
    <row r="3081" spans="4:8" x14ac:dyDescent="0.2">
      <c r="D3081" t="str">
        <f>"2513"</f>
        <v>2513</v>
      </c>
      <c r="H3081" t="s">
        <v>2268</v>
      </c>
    </row>
    <row r="3082" spans="4:8" x14ac:dyDescent="0.2">
      <c r="E3082" t="str">
        <f>"25130"</f>
        <v>25130</v>
      </c>
      <c r="H3082" t="s">
        <v>2268</v>
      </c>
    </row>
    <row r="3083" spans="4:8" x14ac:dyDescent="0.2">
      <c r="F3083" t="str">
        <f>"25130.1"</f>
        <v>25130.1</v>
      </c>
      <c r="H3083" t="s">
        <v>2269</v>
      </c>
    </row>
    <row r="3084" spans="4:8" x14ac:dyDescent="0.2">
      <c r="G3084" t="str">
        <f>"25130.11"</f>
        <v>25130.11</v>
      </c>
      <c r="H3084" t="s">
        <v>2270</v>
      </c>
    </row>
    <row r="3085" spans="4:8" x14ac:dyDescent="0.2">
      <c r="G3085" t="str">
        <f>"25130.12"</f>
        <v>25130.12</v>
      </c>
      <c r="H3085" t="s">
        <v>2271</v>
      </c>
    </row>
    <row r="3086" spans="4:8" x14ac:dyDescent="0.2">
      <c r="G3086" t="str">
        <f>"25130.13"</f>
        <v>25130.13</v>
      </c>
      <c r="H3086" t="s">
        <v>2272</v>
      </c>
    </row>
    <row r="3087" spans="4:8" x14ac:dyDescent="0.2">
      <c r="F3087" t="str">
        <f>"25130.2"</f>
        <v>25130.2</v>
      </c>
      <c r="H3087" t="s">
        <v>2273</v>
      </c>
    </row>
    <row r="3088" spans="4:8" x14ac:dyDescent="0.2">
      <c r="G3088" t="str">
        <f>"25130.21"</f>
        <v>25130.21</v>
      </c>
      <c r="H3088" t="s">
        <v>2274</v>
      </c>
    </row>
    <row r="3089" spans="3:8" x14ac:dyDescent="0.2">
      <c r="G3089" t="str">
        <f>"25130.22"</f>
        <v>25130.22</v>
      </c>
      <c r="H3089" t="s">
        <v>2275</v>
      </c>
    </row>
    <row r="3090" spans="3:8" x14ac:dyDescent="0.2">
      <c r="F3090" t="str">
        <f>"25130.9"</f>
        <v>25130.9</v>
      </c>
      <c r="H3090" t="s">
        <v>2276</v>
      </c>
    </row>
    <row r="3091" spans="3:8" x14ac:dyDescent="0.2">
      <c r="G3091" t="str">
        <f>"25130.90"</f>
        <v>25130.90</v>
      </c>
      <c r="H3091" t="s">
        <v>2276</v>
      </c>
    </row>
    <row r="3092" spans="3:8" x14ac:dyDescent="0.2">
      <c r="C3092" t="str">
        <f>"252"</f>
        <v>252</v>
      </c>
      <c r="H3092" t="s">
        <v>2277</v>
      </c>
    </row>
    <row r="3093" spans="3:8" x14ac:dyDescent="0.2">
      <c r="D3093" t="str">
        <f>"2520"</f>
        <v>2520</v>
      </c>
      <c r="H3093" t="s">
        <v>2277</v>
      </c>
    </row>
    <row r="3094" spans="3:8" x14ac:dyDescent="0.2">
      <c r="E3094" t="str">
        <f>"25201"</f>
        <v>25201</v>
      </c>
      <c r="H3094" t="s">
        <v>2278</v>
      </c>
    </row>
    <row r="3095" spans="3:8" x14ac:dyDescent="0.2">
      <c r="F3095" t="str">
        <f>"25201.1"</f>
        <v>25201.1</v>
      </c>
      <c r="H3095" t="s">
        <v>2279</v>
      </c>
    </row>
    <row r="3096" spans="3:8" x14ac:dyDescent="0.2">
      <c r="G3096" t="str">
        <f>"25201.10"</f>
        <v>25201.10</v>
      </c>
      <c r="H3096" t="s">
        <v>2280</v>
      </c>
    </row>
    <row r="3097" spans="3:8" x14ac:dyDescent="0.2">
      <c r="F3097" t="str">
        <f>"25201.9"</f>
        <v>25201.9</v>
      </c>
      <c r="H3097" t="s">
        <v>2281</v>
      </c>
    </row>
    <row r="3098" spans="3:8" x14ac:dyDescent="0.2">
      <c r="G3098" t="str">
        <f>"25201.90"</f>
        <v>25201.90</v>
      </c>
      <c r="H3098" t="s">
        <v>2281</v>
      </c>
    </row>
    <row r="3099" spans="3:8" x14ac:dyDescent="0.2">
      <c r="E3099" t="str">
        <f>"25209"</f>
        <v>25209</v>
      </c>
      <c r="H3099" t="s">
        <v>2282</v>
      </c>
    </row>
    <row r="3100" spans="3:8" x14ac:dyDescent="0.2">
      <c r="F3100" t="str">
        <f>"25209.1"</f>
        <v>25209.1</v>
      </c>
      <c r="H3100" t="s">
        <v>2282</v>
      </c>
    </row>
    <row r="3101" spans="3:8" x14ac:dyDescent="0.2">
      <c r="G3101" t="str">
        <f>"25209.11"</f>
        <v>25209.11</v>
      </c>
      <c r="H3101" t="s">
        <v>2283</v>
      </c>
    </row>
    <row r="3102" spans="3:8" x14ac:dyDescent="0.2">
      <c r="G3102" t="str">
        <f>"25209.12"</f>
        <v>25209.12</v>
      </c>
      <c r="H3102" t="s">
        <v>2284</v>
      </c>
    </row>
    <row r="3103" spans="3:8" x14ac:dyDescent="0.2">
      <c r="G3103" t="str">
        <f>"25209.13"</f>
        <v>25209.13</v>
      </c>
      <c r="H3103" t="s">
        <v>2285</v>
      </c>
    </row>
    <row r="3104" spans="3:8" x14ac:dyDescent="0.2">
      <c r="F3104" t="str">
        <f>"25209.9"</f>
        <v>25209.9</v>
      </c>
      <c r="H3104" t="s">
        <v>2286</v>
      </c>
    </row>
    <row r="3105" spans="3:8" x14ac:dyDescent="0.2">
      <c r="G3105" t="str">
        <f>"25209.90"</f>
        <v>25209.90</v>
      </c>
      <c r="H3105" t="s">
        <v>2286</v>
      </c>
    </row>
    <row r="3106" spans="3:8" x14ac:dyDescent="0.2">
      <c r="C3106" t="str">
        <f>"259"</f>
        <v>259</v>
      </c>
      <c r="H3106" t="s">
        <v>2287</v>
      </c>
    </row>
    <row r="3107" spans="3:8" x14ac:dyDescent="0.2">
      <c r="D3107" t="str">
        <f>"2591"</f>
        <v>2591</v>
      </c>
      <c r="H3107" t="s">
        <v>2288</v>
      </c>
    </row>
    <row r="3108" spans="3:8" x14ac:dyDescent="0.2">
      <c r="E3108" t="str">
        <f>"25910"</f>
        <v>25910</v>
      </c>
      <c r="H3108" t="s">
        <v>2289</v>
      </c>
    </row>
    <row r="3109" spans="3:8" x14ac:dyDescent="0.2">
      <c r="F3109" t="str">
        <f>"25910.1"</f>
        <v>25910.1</v>
      </c>
      <c r="H3109" t="s">
        <v>2290</v>
      </c>
    </row>
    <row r="3110" spans="3:8" x14ac:dyDescent="0.2">
      <c r="G3110" t="str">
        <f>"25910.11"</f>
        <v>25910.11</v>
      </c>
      <c r="H3110" t="s">
        <v>2291</v>
      </c>
    </row>
    <row r="3111" spans="3:8" x14ac:dyDescent="0.2">
      <c r="G3111" t="str">
        <f>"25910.12"</f>
        <v>25910.12</v>
      </c>
      <c r="H3111" t="s">
        <v>2292</v>
      </c>
    </row>
    <row r="3112" spans="3:8" x14ac:dyDescent="0.2">
      <c r="G3112" t="str">
        <f>"25910.19"</f>
        <v>25910.19</v>
      </c>
      <c r="H3112" t="s">
        <v>2293</v>
      </c>
    </row>
    <row r="3113" spans="3:8" x14ac:dyDescent="0.2">
      <c r="F3113" t="str">
        <f>"25910.2"</f>
        <v>25910.2</v>
      </c>
      <c r="H3113" t="s">
        <v>2294</v>
      </c>
    </row>
    <row r="3114" spans="3:8" x14ac:dyDescent="0.2">
      <c r="G3114" t="str">
        <f>"25910.20"</f>
        <v>25910.20</v>
      </c>
      <c r="H3114" t="s">
        <v>2294</v>
      </c>
    </row>
    <row r="3115" spans="3:8" x14ac:dyDescent="0.2">
      <c r="D3115" t="str">
        <f>"2592"</f>
        <v>2592</v>
      </c>
      <c r="H3115" t="s">
        <v>2295</v>
      </c>
    </row>
    <row r="3116" spans="3:8" x14ac:dyDescent="0.2">
      <c r="E3116" t="str">
        <f>"25921"</f>
        <v>25921</v>
      </c>
      <c r="H3116" t="s">
        <v>2296</v>
      </c>
    </row>
    <row r="3117" spans="3:8" x14ac:dyDescent="0.2">
      <c r="F3117" t="str">
        <f>"25921.1"</f>
        <v>25921.1</v>
      </c>
      <c r="H3117" t="s">
        <v>2297</v>
      </c>
    </row>
    <row r="3118" spans="3:8" x14ac:dyDescent="0.2">
      <c r="G3118" t="str">
        <f>"25921.11"</f>
        <v>25921.11</v>
      </c>
      <c r="H3118" t="s">
        <v>2298</v>
      </c>
    </row>
    <row r="3119" spans="3:8" x14ac:dyDescent="0.2">
      <c r="G3119" t="str">
        <f>"25921.12"</f>
        <v>25921.12</v>
      </c>
      <c r="H3119" t="s">
        <v>2299</v>
      </c>
    </row>
    <row r="3120" spans="3:8" x14ac:dyDescent="0.2">
      <c r="F3120" t="str">
        <f>"25921.2"</f>
        <v>25921.2</v>
      </c>
      <c r="H3120" t="s">
        <v>2300</v>
      </c>
    </row>
    <row r="3121" spans="4:8" x14ac:dyDescent="0.2">
      <c r="G3121" t="str">
        <f>"25921.21"</f>
        <v>25921.21</v>
      </c>
      <c r="H3121" t="s">
        <v>2301</v>
      </c>
    </row>
    <row r="3122" spans="4:8" x14ac:dyDescent="0.2">
      <c r="G3122" t="str">
        <f>"25921.22"</f>
        <v>25921.22</v>
      </c>
      <c r="H3122" t="s">
        <v>2300</v>
      </c>
    </row>
    <row r="3123" spans="4:8" x14ac:dyDescent="0.2">
      <c r="E3123" t="str">
        <f>"25922"</f>
        <v>25922</v>
      </c>
      <c r="H3123" t="s">
        <v>2302</v>
      </c>
    </row>
    <row r="3124" spans="4:8" x14ac:dyDescent="0.2">
      <c r="F3124" t="str">
        <f>"25922.1"</f>
        <v>25922.1</v>
      </c>
      <c r="H3124" t="s">
        <v>2303</v>
      </c>
    </row>
    <row r="3125" spans="4:8" x14ac:dyDescent="0.2">
      <c r="G3125" t="str">
        <f>"25922.10"</f>
        <v>25922.10</v>
      </c>
      <c r="H3125" t="s">
        <v>2303</v>
      </c>
    </row>
    <row r="3126" spans="4:8" x14ac:dyDescent="0.2">
      <c r="F3126" t="str">
        <f>"25922.2"</f>
        <v>25922.2</v>
      </c>
      <c r="H3126" t="s">
        <v>2304</v>
      </c>
    </row>
    <row r="3127" spans="4:8" x14ac:dyDescent="0.2">
      <c r="G3127" t="str">
        <f>"25922.20"</f>
        <v>25922.20</v>
      </c>
      <c r="H3127" t="s">
        <v>2304</v>
      </c>
    </row>
    <row r="3128" spans="4:8" x14ac:dyDescent="0.2">
      <c r="D3128" t="str">
        <f>"2593"</f>
        <v>2593</v>
      </c>
      <c r="H3128" t="s">
        <v>2305</v>
      </c>
    </row>
    <row r="3129" spans="4:8" x14ac:dyDescent="0.2">
      <c r="E3129" t="str">
        <f>"25931"</f>
        <v>25931</v>
      </c>
      <c r="H3129" t="s">
        <v>2306</v>
      </c>
    </row>
    <row r="3130" spans="4:8" x14ac:dyDescent="0.2">
      <c r="F3130" t="str">
        <f>"25931.1"</f>
        <v>25931.1</v>
      </c>
      <c r="H3130" t="s">
        <v>2306</v>
      </c>
    </row>
    <row r="3131" spans="4:8" x14ac:dyDescent="0.2">
      <c r="G3131" t="str">
        <f>"25931.11"</f>
        <v>25931.11</v>
      </c>
      <c r="H3131" t="s">
        <v>2307</v>
      </c>
    </row>
    <row r="3132" spans="4:8" x14ac:dyDescent="0.2">
      <c r="G3132" t="str">
        <f>"25931.12"</f>
        <v>25931.12</v>
      </c>
      <c r="H3132" t="s">
        <v>2308</v>
      </c>
    </row>
    <row r="3133" spans="4:8" x14ac:dyDescent="0.2">
      <c r="G3133" t="str">
        <f>"25931.13"</f>
        <v>25931.13</v>
      </c>
      <c r="H3133" t="s">
        <v>2309</v>
      </c>
    </row>
    <row r="3134" spans="4:8" x14ac:dyDescent="0.2">
      <c r="G3134" t="str">
        <f>"25931.14"</f>
        <v>25931.14</v>
      </c>
      <c r="H3134" t="s">
        <v>2310</v>
      </c>
    </row>
    <row r="3135" spans="4:8" x14ac:dyDescent="0.2">
      <c r="G3135" t="str">
        <f>"25931.15"</f>
        <v>25931.15</v>
      </c>
      <c r="H3135" t="s">
        <v>2311</v>
      </c>
    </row>
    <row r="3136" spans="4:8" x14ac:dyDescent="0.2">
      <c r="F3136" t="str">
        <f>"25931.9"</f>
        <v>25931.9</v>
      </c>
      <c r="H3136" t="s">
        <v>2312</v>
      </c>
    </row>
    <row r="3137" spans="5:8" x14ac:dyDescent="0.2">
      <c r="G3137" t="str">
        <f>"25931.90"</f>
        <v>25931.90</v>
      </c>
      <c r="H3137" t="s">
        <v>2312</v>
      </c>
    </row>
    <row r="3138" spans="5:8" x14ac:dyDescent="0.2">
      <c r="E3138" t="str">
        <f>"25932"</f>
        <v>25932</v>
      </c>
      <c r="H3138" t="s">
        <v>2313</v>
      </c>
    </row>
    <row r="3139" spans="5:8" x14ac:dyDescent="0.2">
      <c r="F3139" t="str">
        <f>"25932.1"</f>
        <v>25932.1</v>
      </c>
      <c r="H3139" t="s">
        <v>2313</v>
      </c>
    </row>
    <row r="3140" spans="5:8" x14ac:dyDescent="0.2">
      <c r="G3140" t="str">
        <f>"25932.11"</f>
        <v>25932.11</v>
      </c>
      <c r="H3140" t="s">
        <v>2314</v>
      </c>
    </row>
    <row r="3141" spans="5:8" x14ac:dyDescent="0.2">
      <c r="G3141" t="str">
        <f>"25932.12"</f>
        <v>25932.12</v>
      </c>
      <c r="H3141" t="s">
        <v>2315</v>
      </c>
    </row>
    <row r="3142" spans="5:8" x14ac:dyDescent="0.2">
      <c r="G3142" t="str">
        <f>"25932.13"</f>
        <v>25932.13</v>
      </c>
      <c r="H3142" t="s">
        <v>2316</v>
      </c>
    </row>
    <row r="3143" spans="5:8" x14ac:dyDescent="0.2">
      <c r="G3143" t="str">
        <f>"25932.14"</f>
        <v>25932.14</v>
      </c>
      <c r="H3143" t="s">
        <v>2317</v>
      </c>
    </row>
    <row r="3144" spans="5:8" x14ac:dyDescent="0.2">
      <c r="F3144" t="str">
        <f>"25932.9"</f>
        <v>25932.9</v>
      </c>
      <c r="H3144" t="s">
        <v>2318</v>
      </c>
    </row>
    <row r="3145" spans="5:8" x14ac:dyDescent="0.2">
      <c r="G3145" t="str">
        <f>"25932.90"</f>
        <v>25932.90</v>
      </c>
      <c r="H3145" t="s">
        <v>2318</v>
      </c>
    </row>
    <row r="3146" spans="5:8" x14ac:dyDescent="0.2">
      <c r="E3146" t="str">
        <f>"25939"</f>
        <v>25939</v>
      </c>
      <c r="H3146" t="s">
        <v>2319</v>
      </c>
    </row>
    <row r="3147" spans="5:8" x14ac:dyDescent="0.2">
      <c r="F3147" t="str">
        <f>"25939.1"</f>
        <v>25939.1</v>
      </c>
      <c r="H3147" t="s">
        <v>2320</v>
      </c>
    </row>
    <row r="3148" spans="5:8" x14ac:dyDescent="0.2">
      <c r="G3148" t="str">
        <f>"25939.10"</f>
        <v>25939.10</v>
      </c>
      <c r="H3148" t="s">
        <v>2320</v>
      </c>
    </row>
    <row r="3149" spans="5:8" x14ac:dyDescent="0.2">
      <c r="F3149" t="str">
        <f>"25939.2"</f>
        <v>25939.2</v>
      </c>
      <c r="H3149" t="s">
        <v>2321</v>
      </c>
    </row>
    <row r="3150" spans="5:8" x14ac:dyDescent="0.2">
      <c r="G3150" t="str">
        <f>"25939.20"</f>
        <v>25939.20</v>
      </c>
      <c r="H3150" t="s">
        <v>2321</v>
      </c>
    </row>
    <row r="3151" spans="5:8" x14ac:dyDescent="0.2">
      <c r="F3151" t="str">
        <f>"25939.3"</f>
        <v>25939.3</v>
      </c>
      <c r="H3151" t="s">
        <v>2322</v>
      </c>
    </row>
    <row r="3152" spans="5:8" x14ac:dyDescent="0.2">
      <c r="G3152" t="str">
        <f>"25939.30"</f>
        <v>25939.30</v>
      </c>
      <c r="H3152" t="s">
        <v>2322</v>
      </c>
    </row>
    <row r="3153" spans="4:8" x14ac:dyDescent="0.2">
      <c r="F3153" t="str">
        <f>"25939.4"</f>
        <v>25939.4</v>
      </c>
      <c r="H3153" t="s">
        <v>2323</v>
      </c>
    </row>
    <row r="3154" spans="4:8" x14ac:dyDescent="0.2">
      <c r="G3154" t="str">
        <f>"25939.40"</f>
        <v>25939.40</v>
      </c>
      <c r="H3154" t="s">
        <v>2323</v>
      </c>
    </row>
    <row r="3155" spans="4:8" x14ac:dyDescent="0.2">
      <c r="F3155" t="str">
        <f>"25939.5"</f>
        <v>25939.5</v>
      </c>
      <c r="H3155" t="s">
        <v>2324</v>
      </c>
    </row>
    <row r="3156" spans="4:8" x14ac:dyDescent="0.2">
      <c r="G3156" t="str">
        <f>"25939.50"</f>
        <v>25939.50</v>
      </c>
      <c r="H3156" t="s">
        <v>2324</v>
      </c>
    </row>
    <row r="3157" spans="4:8" x14ac:dyDescent="0.2">
      <c r="F3157" t="str">
        <f>"25939.6"</f>
        <v>25939.6</v>
      </c>
      <c r="H3157" t="s">
        <v>2325</v>
      </c>
    </row>
    <row r="3158" spans="4:8" x14ac:dyDescent="0.2">
      <c r="G3158" t="str">
        <f>"25939.60"</f>
        <v>25939.60</v>
      </c>
      <c r="H3158" t="s">
        <v>2325</v>
      </c>
    </row>
    <row r="3159" spans="4:8" x14ac:dyDescent="0.2">
      <c r="F3159" t="str">
        <f>"25939.9"</f>
        <v>25939.9</v>
      </c>
      <c r="H3159" t="s">
        <v>2326</v>
      </c>
    </row>
    <row r="3160" spans="4:8" x14ac:dyDescent="0.2">
      <c r="G3160" t="str">
        <f>"25939.90"</f>
        <v>25939.90</v>
      </c>
      <c r="H3160" t="s">
        <v>2326</v>
      </c>
    </row>
    <row r="3161" spans="4:8" x14ac:dyDescent="0.2">
      <c r="D3161" t="str">
        <f>"2594"</f>
        <v>2594</v>
      </c>
      <c r="H3161" t="s">
        <v>2327</v>
      </c>
    </row>
    <row r="3162" spans="4:8" x14ac:dyDescent="0.2">
      <c r="E3162" t="str">
        <f>"25941"</f>
        <v>25941</v>
      </c>
      <c r="H3162" t="s">
        <v>2328</v>
      </c>
    </row>
    <row r="3163" spans="4:8" x14ac:dyDescent="0.2">
      <c r="F3163" t="str">
        <f>"25941.1"</f>
        <v>25941.1</v>
      </c>
      <c r="H3163" t="s">
        <v>2329</v>
      </c>
    </row>
    <row r="3164" spans="4:8" x14ac:dyDescent="0.2">
      <c r="G3164" t="str">
        <f>"25941.11"</f>
        <v>25941.11</v>
      </c>
      <c r="H3164" t="s">
        <v>2330</v>
      </c>
    </row>
    <row r="3165" spans="4:8" x14ac:dyDescent="0.2">
      <c r="G3165" t="str">
        <f>"25941.12"</f>
        <v>25941.12</v>
      </c>
      <c r="H3165" t="s">
        <v>2331</v>
      </c>
    </row>
    <row r="3166" spans="4:8" x14ac:dyDescent="0.2">
      <c r="F3166" t="str">
        <f>"25941.9"</f>
        <v>25941.9</v>
      </c>
      <c r="H3166" t="s">
        <v>2332</v>
      </c>
    </row>
    <row r="3167" spans="4:8" x14ac:dyDescent="0.2">
      <c r="G3167" t="str">
        <f>"25941.90"</f>
        <v>25941.90</v>
      </c>
      <c r="H3167" t="s">
        <v>2332</v>
      </c>
    </row>
    <row r="3168" spans="4:8" x14ac:dyDescent="0.2">
      <c r="E3168" t="str">
        <f>"25949"</f>
        <v>25949</v>
      </c>
      <c r="H3168" t="s">
        <v>2333</v>
      </c>
    </row>
    <row r="3169" spans="4:8" x14ac:dyDescent="0.2">
      <c r="F3169" t="str">
        <f>"25949.1"</f>
        <v>25949.1</v>
      </c>
      <c r="H3169" t="s">
        <v>2333</v>
      </c>
    </row>
    <row r="3170" spans="4:8" x14ac:dyDescent="0.2">
      <c r="G3170" t="str">
        <f>"25949.11"</f>
        <v>25949.11</v>
      </c>
      <c r="H3170" t="s">
        <v>2334</v>
      </c>
    </row>
    <row r="3171" spans="4:8" x14ac:dyDescent="0.2">
      <c r="G3171" t="str">
        <f>"25949.12"</f>
        <v>25949.12</v>
      </c>
      <c r="H3171" t="s">
        <v>2335</v>
      </c>
    </row>
    <row r="3172" spans="4:8" x14ac:dyDescent="0.2">
      <c r="G3172" t="str">
        <f>"25949.13"</f>
        <v>25949.13</v>
      </c>
      <c r="H3172" t="s">
        <v>2336</v>
      </c>
    </row>
    <row r="3173" spans="4:8" x14ac:dyDescent="0.2">
      <c r="F3173" t="str">
        <f>"25949.9"</f>
        <v>25949.9</v>
      </c>
      <c r="H3173" t="s">
        <v>2337</v>
      </c>
    </row>
    <row r="3174" spans="4:8" x14ac:dyDescent="0.2">
      <c r="G3174" t="str">
        <f>"25949.90"</f>
        <v>25949.90</v>
      </c>
      <c r="H3174" t="s">
        <v>2337</v>
      </c>
    </row>
    <row r="3175" spans="4:8" x14ac:dyDescent="0.2">
      <c r="D3175" t="str">
        <f>"2595"</f>
        <v>2595</v>
      </c>
      <c r="H3175" t="s">
        <v>2338</v>
      </c>
    </row>
    <row r="3176" spans="4:8" x14ac:dyDescent="0.2">
      <c r="E3176" t="str">
        <f>"25951"</f>
        <v>25951</v>
      </c>
      <c r="H3176" t="s">
        <v>2339</v>
      </c>
    </row>
    <row r="3177" spans="4:8" x14ac:dyDescent="0.2">
      <c r="F3177" t="str">
        <f>"25951.1"</f>
        <v>25951.1</v>
      </c>
      <c r="H3177" t="s">
        <v>2339</v>
      </c>
    </row>
    <row r="3178" spans="4:8" x14ac:dyDescent="0.2">
      <c r="G3178" t="str">
        <f>"25951.11"</f>
        <v>25951.11</v>
      </c>
      <c r="H3178" t="s">
        <v>2340</v>
      </c>
    </row>
    <row r="3179" spans="4:8" x14ac:dyDescent="0.2">
      <c r="G3179" t="str">
        <f>"25951.12"</f>
        <v>25951.12</v>
      </c>
      <c r="H3179" t="s">
        <v>2341</v>
      </c>
    </row>
    <row r="3180" spans="4:8" x14ac:dyDescent="0.2">
      <c r="G3180" t="str">
        <f>"25951.13"</f>
        <v>25951.13</v>
      </c>
      <c r="H3180" t="s">
        <v>2342</v>
      </c>
    </row>
    <row r="3181" spans="4:8" x14ac:dyDescent="0.2">
      <c r="G3181" t="str">
        <f>"25951.14"</f>
        <v>25951.14</v>
      </c>
      <c r="H3181" t="s">
        <v>2343</v>
      </c>
    </row>
    <row r="3182" spans="4:8" x14ac:dyDescent="0.2">
      <c r="F3182" t="str">
        <f>"25951.9"</f>
        <v>25951.9</v>
      </c>
      <c r="H3182" t="s">
        <v>2344</v>
      </c>
    </row>
    <row r="3183" spans="4:8" x14ac:dyDescent="0.2">
      <c r="G3183" t="str">
        <f>"25951.90"</f>
        <v>25951.90</v>
      </c>
      <c r="H3183" t="s">
        <v>2344</v>
      </c>
    </row>
    <row r="3184" spans="4:8" x14ac:dyDescent="0.2">
      <c r="E3184" t="str">
        <f>"25952"</f>
        <v>25952</v>
      </c>
      <c r="H3184" t="s">
        <v>2345</v>
      </c>
    </row>
    <row r="3185" spans="4:8" x14ac:dyDescent="0.2">
      <c r="F3185" t="str">
        <f>"25952.1"</f>
        <v>25952.1</v>
      </c>
      <c r="H3185" t="s">
        <v>2346</v>
      </c>
    </row>
    <row r="3186" spans="4:8" x14ac:dyDescent="0.2">
      <c r="G3186" t="str">
        <f>"25952.11"</f>
        <v>25952.11</v>
      </c>
      <c r="H3186" t="s">
        <v>2347</v>
      </c>
    </row>
    <row r="3187" spans="4:8" x14ac:dyDescent="0.2">
      <c r="G3187" t="str">
        <f>"25952.12"</f>
        <v>25952.12</v>
      </c>
      <c r="H3187" t="s">
        <v>2348</v>
      </c>
    </row>
    <row r="3188" spans="4:8" x14ac:dyDescent="0.2">
      <c r="G3188" t="str">
        <f>"25952.13"</f>
        <v>25952.13</v>
      </c>
      <c r="H3188" t="s">
        <v>2349</v>
      </c>
    </row>
    <row r="3189" spans="4:8" x14ac:dyDescent="0.2">
      <c r="G3189" t="str">
        <f>"25952.14"</f>
        <v>25952.14</v>
      </c>
      <c r="H3189" t="s">
        <v>2350</v>
      </c>
    </row>
    <row r="3190" spans="4:8" x14ac:dyDescent="0.2">
      <c r="F3190" t="str">
        <f>"25952.2"</f>
        <v>25952.2</v>
      </c>
      <c r="H3190" t="s">
        <v>2351</v>
      </c>
    </row>
    <row r="3191" spans="4:8" x14ac:dyDescent="0.2">
      <c r="G3191" t="str">
        <f>"25952.21"</f>
        <v>25952.21</v>
      </c>
      <c r="H3191" t="s">
        <v>2352</v>
      </c>
    </row>
    <row r="3192" spans="4:8" x14ac:dyDescent="0.2">
      <c r="G3192" t="str">
        <f>"25952.22"</f>
        <v>25952.22</v>
      </c>
      <c r="H3192" t="s">
        <v>2353</v>
      </c>
    </row>
    <row r="3193" spans="4:8" x14ac:dyDescent="0.2">
      <c r="G3193" t="str">
        <f>"25952.23"</f>
        <v>25952.23</v>
      </c>
      <c r="H3193" t="s">
        <v>2354</v>
      </c>
    </row>
    <row r="3194" spans="4:8" x14ac:dyDescent="0.2">
      <c r="G3194" t="str">
        <f>"25952.24"</f>
        <v>25952.24</v>
      </c>
      <c r="H3194" t="s">
        <v>2355</v>
      </c>
    </row>
    <row r="3195" spans="4:8" x14ac:dyDescent="0.2">
      <c r="F3195" t="str">
        <f>"25952.9"</f>
        <v>25952.9</v>
      </c>
      <c r="H3195" t="s">
        <v>2356</v>
      </c>
    </row>
    <row r="3196" spans="4:8" x14ac:dyDescent="0.2">
      <c r="G3196" t="str">
        <f>"25952.90"</f>
        <v>25952.90</v>
      </c>
      <c r="H3196" t="s">
        <v>2357</v>
      </c>
    </row>
    <row r="3197" spans="4:8" x14ac:dyDescent="0.2">
      <c r="D3197" t="str">
        <f>"2599"</f>
        <v>2599</v>
      </c>
      <c r="H3197" t="s">
        <v>2358</v>
      </c>
    </row>
    <row r="3198" spans="4:8" x14ac:dyDescent="0.2">
      <c r="E3198" t="str">
        <f>"25991"</f>
        <v>25991</v>
      </c>
      <c r="H3198" t="s">
        <v>2359</v>
      </c>
    </row>
    <row r="3199" spans="4:8" x14ac:dyDescent="0.2">
      <c r="F3199" t="str">
        <f>"25991.1"</f>
        <v>25991.1</v>
      </c>
      <c r="H3199" t="s">
        <v>2360</v>
      </c>
    </row>
    <row r="3200" spans="4:8" x14ac:dyDescent="0.2">
      <c r="G3200" t="str">
        <f>"25991.10"</f>
        <v>25991.10</v>
      </c>
      <c r="H3200" t="s">
        <v>2360</v>
      </c>
    </row>
    <row r="3201" spans="5:8" x14ac:dyDescent="0.2">
      <c r="F3201" t="str">
        <f>"25991.9"</f>
        <v>25991.9</v>
      </c>
      <c r="H3201" t="s">
        <v>2361</v>
      </c>
    </row>
    <row r="3202" spans="5:8" x14ac:dyDescent="0.2">
      <c r="G3202" t="str">
        <f>"25991.90"</f>
        <v>25991.90</v>
      </c>
      <c r="H3202" t="s">
        <v>2361</v>
      </c>
    </row>
    <row r="3203" spans="5:8" x14ac:dyDescent="0.2">
      <c r="E3203" t="str">
        <f>"25992"</f>
        <v>25992</v>
      </c>
      <c r="H3203" t="s">
        <v>2362</v>
      </c>
    </row>
    <row r="3204" spans="5:8" x14ac:dyDescent="0.2">
      <c r="F3204" t="str">
        <f>"25992.1"</f>
        <v>25992.1</v>
      </c>
      <c r="H3204" t="s">
        <v>2362</v>
      </c>
    </row>
    <row r="3205" spans="5:8" x14ac:dyDescent="0.2">
      <c r="G3205" t="str">
        <f>"25992.11"</f>
        <v>25992.11</v>
      </c>
      <c r="H3205" t="s">
        <v>2363</v>
      </c>
    </row>
    <row r="3206" spans="5:8" x14ac:dyDescent="0.2">
      <c r="G3206" t="str">
        <f>"25992.12"</f>
        <v>25992.12</v>
      </c>
      <c r="H3206" t="s">
        <v>2364</v>
      </c>
    </row>
    <row r="3207" spans="5:8" x14ac:dyDescent="0.2">
      <c r="F3207" t="str">
        <f>"25992.9"</f>
        <v>25992.9</v>
      </c>
      <c r="H3207" t="s">
        <v>2365</v>
      </c>
    </row>
    <row r="3208" spans="5:8" x14ac:dyDescent="0.2">
      <c r="G3208" t="str">
        <f>"25992.90"</f>
        <v>25992.90</v>
      </c>
      <c r="H3208" t="s">
        <v>2365</v>
      </c>
    </row>
    <row r="3209" spans="5:8" x14ac:dyDescent="0.2">
      <c r="E3209" t="str">
        <f>"25993"</f>
        <v>25993</v>
      </c>
      <c r="H3209" t="s">
        <v>2366</v>
      </c>
    </row>
    <row r="3210" spans="5:8" x14ac:dyDescent="0.2">
      <c r="F3210" t="str">
        <f>"25993.1"</f>
        <v>25993.1</v>
      </c>
      <c r="H3210" t="s">
        <v>2366</v>
      </c>
    </row>
    <row r="3211" spans="5:8" x14ac:dyDescent="0.2">
      <c r="G3211" t="str">
        <f>"25993.11"</f>
        <v>25993.11</v>
      </c>
      <c r="H3211" t="s">
        <v>2367</v>
      </c>
    </row>
    <row r="3212" spans="5:8" x14ac:dyDescent="0.2">
      <c r="G3212" t="str">
        <f>"25993.12"</f>
        <v>25993.12</v>
      </c>
      <c r="H3212" t="s">
        <v>2368</v>
      </c>
    </row>
    <row r="3213" spans="5:8" x14ac:dyDescent="0.2">
      <c r="G3213" t="str">
        <f>"25993.13"</f>
        <v>25993.13</v>
      </c>
      <c r="H3213" t="s">
        <v>2369</v>
      </c>
    </row>
    <row r="3214" spans="5:8" x14ac:dyDescent="0.2">
      <c r="F3214" t="str">
        <f>"25993.9"</f>
        <v>25993.9</v>
      </c>
      <c r="H3214" t="s">
        <v>2370</v>
      </c>
    </row>
    <row r="3215" spans="5:8" x14ac:dyDescent="0.2">
      <c r="G3215" t="str">
        <f>"25993.90"</f>
        <v>25993.90</v>
      </c>
      <c r="H3215" t="s">
        <v>2370</v>
      </c>
    </row>
    <row r="3216" spans="5:8" x14ac:dyDescent="0.2">
      <c r="E3216" t="str">
        <f>"25999"</f>
        <v>25999</v>
      </c>
      <c r="H3216" t="s">
        <v>2358</v>
      </c>
    </row>
    <row r="3217" spans="2:8" x14ac:dyDescent="0.2">
      <c r="F3217" t="str">
        <f>"25999.1"</f>
        <v>25999.1</v>
      </c>
      <c r="H3217" t="s">
        <v>2358</v>
      </c>
    </row>
    <row r="3218" spans="2:8" x14ac:dyDescent="0.2">
      <c r="G3218" t="str">
        <f>"25999.11"</f>
        <v>25999.11</v>
      </c>
      <c r="H3218" t="s">
        <v>2371</v>
      </c>
    </row>
    <row r="3219" spans="2:8" x14ac:dyDescent="0.2">
      <c r="G3219" t="str">
        <f>"25999.12"</f>
        <v>25999.12</v>
      </c>
      <c r="H3219" t="s">
        <v>2372</v>
      </c>
    </row>
    <row r="3220" spans="2:8" x14ac:dyDescent="0.2">
      <c r="G3220" t="str">
        <f>"25999.13"</f>
        <v>25999.13</v>
      </c>
      <c r="H3220" t="s">
        <v>2373</v>
      </c>
    </row>
    <row r="3221" spans="2:8" x14ac:dyDescent="0.2">
      <c r="G3221" t="str">
        <f>"25999.14"</f>
        <v>25999.14</v>
      </c>
      <c r="H3221" t="s">
        <v>2374</v>
      </c>
    </row>
    <row r="3222" spans="2:8" x14ac:dyDescent="0.2">
      <c r="G3222" t="str">
        <f>"25999.15"</f>
        <v>25999.15</v>
      </c>
      <c r="H3222" t="s">
        <v>2375</v>
      </c>
    </row>
    <row r="3223" spans="2:8" x14ac:dyDescent="0.2">
      <c r="G3223" t="str">
        <f>"25999.16"</f>
        <v>25999.16</v>
      </c>
      <c r="H3223" t="s">
        <v>2376</v>
      </c>
    </row>
    <row r="3224" spans="2:8" x14ac:dyDescent="0.2">
      <c r="G3224" t="str">
        <f>"25999.19"</f>
        <v>25999.19</v>
      </c>
      <c r="H3224" t="s">
        <v>2358</v>
      </c>
    </row>
    <row r="3225" spans="2:8" x14ac:dyDescent="0.2">
      <c r="F3225" t="str">
        <f>"25999.9"</f>
        <v>25999.9</v>
      </c>
      <c r="H3225" t="s">
        <v>2377</v>
      </c>
    </row>
    <row r="3226" spans="2:8" x14ac:dyDescent="0.2">
      <c r="G3226" t="str">
        <f>"25999.90"</f>
        <v>25999.90</v>
      </c>
      <c r="H3226" t="s">
        <v>2377</v>
      </c>
    </row>
    <row r="3227" spans="2:8" x14ac:dyDescent="0.2">
      <c r="B3227" t="str">
        <f>"26"</f>
        <v>26</v>
      </c>
      <c r="H3227" t="s">
        <v>2378</v>
      </c>
    </row>
    <row r="3228" spans="2:8" x14ac:dyDescent="0.2">
      <c r="C3228" t="str">
        <f>"261"</f>
        <v>261</v>
      </c>
      <c r="H3228" t="s">
        <v>2379</v>
      </c>
    </row>
    <row r="3229" spans="2:8" x14ac:dyDescent="0.2">
      <c r="D3229" t="str">
        <f>"2610"</f>
        <v>2610</v>
      </c>
      <c r="H3229" t="s">
        <v>2379</v>
      </c>
    </row>
    <row r="3230" spans="2:8" x14ac:dyDescent="0.2">
      <c r="E3230" t="str">
        <f>"26101"</f>
        <v>26101</v>
      </c>
      <c r="H3230" t="s">
        <v>2380</v>
      </c>
    </row>
    <row r="3231" spans="2:8" x14ac:dyDescent="0.2">
      <c r="F3231" t="str">
        <f>"26101.1"</f>
        <v>26101.1</v>
      </c>
      <c r="H3231" t="s">
        <v>2380</v>
      </c>
    </row>
    <row r="3232" spans="2:8" x14ac:dyDescent="0.2">
      <c r="G3232" t="str">
        <f>"26101.11"</f>
        <v>26101.11</v>
      </c>
      <c r="H3232" t="s">
        <v>2381</v>
      </c>
    </row>
    <row r="3233" spans="5:8" x14ac:dyDescent="0.2">
      <c r="G3233" t="str">
        <f>"26101.12"</f>
        <v>26101.12</v>
      </c>
      <c r="H3233" t="s">
        <v>2382</v>
      </c>
    </row>
    <row r="3234" spans="5:8" x14ac:dyDescent="0.2">
      <c r="F3234" t="str">
        <f>"26101.2"</f>
        <v>26101.2</v>
      </c>
      <c r="H3234" t="s">
        <v>2383</v>
      </c>
    </row>
    <row r="3235" spans="5:8" x14ac:dyDescent="0.2">
      <c r="G3235" t="str">
        <f>"26101.20"</f>
        <v>26101.20</v>
      </c>
      <c r="H3235" t="s">
        <v>2383</v>
      </c>
    </row>
    <row r="3236" spans="5:8" x14ac:dyDescent="0.2">
      <c r="F3236" t="str">
        <f>"26101.9"</f>
        <v>26101.9</v>
      </c>
      <c r="H3236" t="s">
        <v>2384</v>
      </c>
    </row>
    <row r="3237" spans="5:8" x14ac:dyDescent="0.2">
      <c r="G3237" t="str">
        <f>"26101.90"</f>
        <v>26101.90</v>
      </c>
      <c r="H3237" t="s">
        <v>2384</v>
      </c>
    </row>
    <row r="3238" spans="5:8" x14ac:dyDescent="0.2">
      <c r="E3238" t="str">
        <f>"26102"</f>
        <v>26102</v>
      </c>
      <c r="H3238" t="s">
        <v>2385</v>
      </c>
    </row>
    <row r="3239" spans="5:8" x14ac:dyDescent="0.2">
      <c r="F3239" t="str">
        <f>"26102.1"</f>
        <v>26102.1</v>
      </c>
      <c r="H3239" t="s">
        <v>2386</v>
      </c>
    </row>
    <row r="3240" spans="5:8" x14ac:dyDescent="0.2">
      <c r="G3240" t="str">
        <f>"26102.10"</f>
        <v>26102.10</v>
      </c>
      <c r="H3240" t="s">
        <v>2386</v>
      </c>
    </row>
    <row r="3241" spans="5:8" x14ac:dyDescent="0.2">
      <c r="F3241" t="str">
        <f>"26102.2"</f>
        <v>26102.2</v>
      </c>
      <c r="H3241" t="s">
        <v>2387</v>
      </c>
    </row>
    <row r="3242" spans="5:8" x14ac:dyDescent="0.2">
      <c r="G3242" t="str">
        <f>"26102.20"</f>
        <v>26102.20</v>
      </c>
      <c r="H3242" t="s">
        <v>2387</v>
      </c>
    </row>
    <row r="3243" spans="5:8" x14ac:dyDescent="0.2">
      <c r="F3243" t="str">
        <f>"26102.3"</f>
        <v>26102.3</v>
      </c>
      <c r="H3243" t="s">
        <v>2388</v>
      </c>
    </row>
    <row r="3244" spans="5:8" x14ac:dyDescent="0.2">
      <c r="G3244" t="str">
        <f>"26102.31"</f>
        <v>26102.31</v>
      </c>
      <c r="H3244" t="s">
        <v>2389</v>
      </c>
    </row>
    <row r="3245" spans="5:8" x14ac:dyDescent="0.2">
      <c r="G3245" t="str">
        <f>"26102.32"</f>
        <v>26102.32</v>
      </c>
      <c r="H3245" t="s">
        <v>2390</v>
      </c>
    </row>
    <row r="3246" spans="5:8" x14ac:dyDescent="0.2">
      <c r="F3246" t="str">
        <f>"26102.9"</f>
        <v>26102.9</v>
      </c>
      <c r="H3246" t="s">
        <v>2391</v>
      </c>
    </row>
    <row r="3247" spans="5:8" x14ac:dyDescent="0.2">
      <c r="G3247" t="str">
        <f>"26102.90"</f>
        <v>26102.90</v>
      </c>
      <c r="H3247" t="s">
        <v>2391</v>
      </c>
    </row>
    <row r="3248" spans="5:8" x14ac:dyDescent="0.2">
      <c r="E3248" t="str">
        <f>"26103"</f>
        <v>26103</v>
      </c>
      <c r="H3248" t="s">
        <v>2392</v>
      </c>
    </row>
    <row r="3249" spans="5:8" x14ac:dyDescent="0.2">
      <c r="F3249" t="str">
        <f>"26103.1"</f>
        <v>26103.1</v>
      </c>
      <c r="H3249" t="s">
        <v>2392</v>
      </c>
    </row>
    <row r="3250" spans="5:8" x14ac:dyDescent="0.2">
      <c r="G3250" t="str">
        <f>"26103.11"</f>
        <v>26103.11</v>
      </c>
      <c r="H3250" t="s">
        <v>2393</v>
      </c>
    </row>
    <row r="3251" spans="5:8" x14ac:dyDescent="0.2">
      <c r="G3251" t="str">
        <f>"26103.12"</f>
        <v>26103.12</v>
      </c>
      <c r="H3251" t="s">
        <v>2394</v>
      </c>
    </row>
    <row r="3252" spans="5:8" x14ac:dyDescent="0.2">
      <c r="F3252" t="str">
        <f>"26103.9"</f>
        <v>26103.9</v>
      </c>
      <c r="H3252" t="s">
        <v>2395</v>
      </c>
    </row>
    <row r="3253" spans="5:8" x14ac:dyDescent="0.2">
      <c r="G3253" t="str">
        <f>"26103.90"</f>
        <v>26103.90</v>
      </c>
      <c r="H3253" t="s">
        <v>2395</v>
      </c>
    </row>
    <row r="3254" spans="5:8" x14ac:dyDescent="0.2">
      <c r="E3254" t="str">
        <f>"26104"</f>
        <v>26104</v>
      </c>
      <c r="H3254" t="s">
        <v>2396</v>
      </c>
    </row>
    <row r="3255" spans="5:8" x14ac:dyDescent="0.2">
      <c r="F3255" t="str">
        <f>"26104.1"</f>
        <v>26104.1</v>
      </c>
      <c r="H3255" t="s">
        <v>2397</v>
      </c>
    </row>
    <row r="3256" spans="5:8" x14ac:dyDescent="0.2">
      <c r="G3256" t="str">
        <f>"26104.10"</f>
        <v>26104.10</v>
      </c>
      <c r="H3256" t="s">
        <v>2397</v>
      </c>
    </row>
    <row r="3257" spans="5:8" x14ac:dyDescent="0.2">
      <c r="F3257" t="str">
        <f>"26104.2"</f>
        <v>26104.2</v>
      </c>
      <c r="H3257" t="s">
        <v>2398</v>
      </c>
    </row>
    <row r="3258" spans="5:8" x14ac:dyDescent="0.2">
      <c r="G3258" t="str">
        <f>"26104.21"</f>
        <v>26104.21</v>
      </c>
      <c r="H3258" t="s">
        <v>2399</v>
      </c>
    </row>
    <row r="3259" spans="5:8" x14ac:dyDescent="0.2">
      <c r="G3259" t="str">
        <f>"26104.22"</f>
        <v>26104.22</v>
      </c>
      <c r="H3259" t="s">
        <v>2400</v>
      </c>
    </row>
    <row r="3260" spans="5:8" x14ac:dyDescent="0.2">
      <c r="F3260" t="str">
        <f>"26104.3"</f>
        <v>26104.3</v>
      </c>
      <c r="H3260" t="s">
        <v>2401</v>
      </c>
    </row>
    <row r="3261" spans="5:8" x14ac:dyDescent="0.2">
      <c r="G3261" t="str">
        <f>"26104.30"</f>
        <v>26104.30</v>
      </c>
      <c r="H3261" t="s">
        <v>2401</v>
      </c>
    </row>
    <row r="3262" spans="5:8" x14ac:dyDescent="0.2">
      <c r="F3262" t="str">
        <f>"26104.4"</f>
        <v>26104.4</v>
      </c>
      <c r="H3262" t="s">
        <v>2402</v>
      </c>
    </row>
    <row r="3263" spans="5:8" x14ac:dyDescent="0.2">
      <c r="G3263" t="str">
        <f>"26104.41"</f>
        <v>26104.41</v>
      </c>
      <c r="H3263" t="s">
        <v>2403</v>
      </c>
    </row>
    <row r="3264" spans="5:8" x14ac:dyDescent="0.2">
      <c r="G3264" t="str">
        <f>"26104.42"</f>
        <v>26104.42</v>
      </c>
      <c r="H3264" t="s">
        <v>2404</v>
      </c>
    </row>
    <row r="3265" spans="3:8" x14ac:dyDescent="0.2">
      <c r="F3265" t="str">
        <f>"26104.9"</f>
        <v>26104.9</v>
      </c>
      <c r="H3265" t="s">
        <v>2405</v>
      </c>
    </row>
    <row r="3266" spans="3:8" x14ac:dyDescent="0.2">
      <c r="G3266" t="str">
        <f>"26104.90"</f>
        <v>26104.90</v>
      </c>
      <c r="H3266" t="s">
        <v>2405</v>
      </c>
    </row>
    <row r="3267" spans="3:8" x14ac:dyDescent="0.2">
      <c r="E3267" t="str">
        <f>"26109"</f>
        <v>26109</v>
      </c>
      <c r="H3267" t="s">
        <v>2406</v>
      </c>
    </row>
    <row r="3268" spans="3:8" x14ac:dyDescent="0.2">
      <c r="F3268" t="str">
        <f>"26109.1"</f>
        <v>26109.1</v>
      </c>
      <c r="H3268" t="s">
        <v>2406</v>
      </c>
    </row>
    <row r="3269" spans="3:8" x14ac:dyDescent="0.2">
      <c r="G3269" t="str">
        <f>"26109.11"</f>
        <v>26109.11</v>
      </c>
      <c r="H3269" t="s">
        <v>2407</v>
      </c>
    </row>
    <row r="3270" spans="3:8" x14ac:dyDescent="0.2">
      <c r="G3270" t="str">
        <f>"26109.12"</f>
        <v>26109.12</v>
      </c>
      <c r="H3270" t="s">
        <v>2408</v>
      </c>
    </row>
    <row r="3271" spans="3:8" x14ac:dyDescent="0.2">
      <c r="G3271" t="str">
        <f>"26109.13"</f>
        <v>26109.13</v>
      </c>
      <c r="H3271" t="s">
        <v>2409</v>
      </c>
    </row>
    <row r="3272" spans="3:8" x14ac:dyDescent="0.2">
      <c r="G3272" t="str">
        <f>"26109.14"</f>
        <v>26109.14</v>
      </c>
      <c r="H3272" t="s">
        <v>2410</v>
      </c>
    </row>
    <row r="3273" spans="3:8" x14ac:dyDescent="0.2">
      <c r="G3273" t="str">
        <f>"26109.15"</f>
        <v>26109.15</v>
      </c>
      <c r="H3273" t="s">
        <v>2411</v>
      </c>
    </row>
    <row r="3274" spans="3:8" x14ac:dyDescent="0.2">
      <c r="G3274" t="str">
        <f>"26109.16"</f>
        <v>26109.16</v>
      </c>
      <c r="H3274" t="s">
        <v>2412</v>
      </c>
    </row>
    <row r="3275" spans="3:8" x14ac:dyDescent="0.2">
      <c r="F3275" t="str">
        <f>"26109.9"</f>
        <v>26109.9</v>
      </c>
      <c r="H3275" t="s">
        <v>2413</v>
      </c>
    </row>
    <row r="3276" spans="3:8" x14ac:dyDescent="0.2">
      <c r="G3276" t="str">
        <f>"26109.90"</f>
        <v>26109.90</v>
      </c>
      <c r="H3276" t="s">
        <v>2413</v>
      </c>
    </row>
    <row r="3277" spans="3:8" x14ac:dyDescent="0.2">
      <c r="C3277" t="str">
        <f>"262"</f>
        <v>262</v>
      </c>
      <c r="H3277" t="s">
        <v>2414</v>
      </c>
    </row>
    <row r="3278" spans="3:8" x14ac:dyDescent="0.2">
      <c r="D3278" t="str">
        <f>"2620"</f>
        <v>2620</v>
      </c>
      <c r="H3278" t="s">
        <v>2414</v>
      </c>
    </row>
    <row r="3279" spans="3:8" x14ac:dyDescent="0.2">
      <c r="E3279" t="str">
        <f>"26201"</f>
        <v>26201</v>
      </c>
      <c r="H3279" t="s">
        <v>2415</v>
      </c>
    </row>
    <row r="3280" spans="3:8" x14ac:dyDescent="0.2">
      <c r="F3280" t="str">
        <f>"26201.1"</f>
        <v>26201.1</v>
      </c>
      <c r="H3280" t="s">
        <v>2416</v>
      </c>
    </row>
    <row r="3281" spans="5:8" x14ac:dyDescent="0.2">
      <c r="G3281" t="str">
        <f>"26201.11"</f>
        <v>26201.11</v>
      </c>
      <c r="H3281" t="s">
        <v>2417</v>
      </c>
    </row>
    <row r="3282" spans="5:8" x14ac:dyDescent="0.2">
      <c r="G3282" t="str">
        <f>"26201.12"</f>
        <v>26201.12</v>
      </c>
      <c r="H3282" t="s">
        <v>2418</v>
      </c>
    </row>
    <row r="3283" spans="5:8" x14ac:dyDescent="0.2">
      <c r="G3283" t="str">
        <f>"26201.13"</f>
        <v>26201.13</v>
      </c>
      <c r="H3283" t="s">
        <v>2419</v>
      </c>
    </row>
    <row r="3284" spans="5:8" x14ac:dyDescent="0.2">
      <c r="G3284" t="str">
        <f>"26201.14"</f>
        <v>26201.14</v>
      </c>
      <c r="H3284" t="s">
        <v>2420</v>
      </c>
    </row>
    <row r="3285" spans="5:8" x14ac:dyDescent="0.2">
      <c r="G3285" t="str">
        <f>"26201.15"</f>
        <v>26201.15</v>
      </c>
      <c r="H3285" t="s">
        <v>2421</v>
      </c>
    </row>
    <row r="3286" spans="5:8" x14ac:dyDescent="0.2">
      <c r="G3286" t="str">
        <f>"26201.16"</f>
        <v>26201.16</v>
      </c>
      <c r="H3286" t="s">
        <v>2422</v>
      </c>
    </row>
    <row r="3287" spans="5:8" x14ac:dyDescent="0.2">
      <c r="F3287" t="str">
        <f>"26201.2"</f>
        <v>26201.2</v>
      </c>
      <c r="H3287" t="s">
        <v>2423</v>
      </c>
    </row>
    <row r="3288" spans="5:8" x14ac:dyDescent="0.2">
      <c r="G3288" t="str">
        <f>"26201.20"</f>
        <v>26201.20</v>
      </c>
      <c r="H3288" t="s">
        <v>2423</v>
      </c>
    </row>
    <row r="3289" spans="5:8" x14ac:dyDescent="0.2">
      <c r="F3289" t="str">
        <f>"26201.9"</f>
        <v>26201.9</v>
      </c>
      <c r="H3289" t="s">
        <v>2424</v>
      </c>
    </row>
    <row r="3290" spans="5:8" x14ac:dyDescent="0.2">
      <c r="G3290" t="str">
        <f>"26201.90"</f>
        <v>26201.90</v>
      </c>
      <c r="H3290" t="s">
        <v>2424</v>
      </c>
    </row>
    <row r="3291" spans="5:8" x14ac:dyDescent="0.2">
      <c r="E3291" t="str">
        <f>"26202"</f>
        <v>26202</v>
      </c>
      <c r="H3291" t="s">
        <v>2425</v>
      </c>
    </row>
    <row r="3292" spans="5:8" x14ac:dyDescent="0.2">
      <c r="F3292" t="str">
        <f>"26202.1"</f>
        <v>26202.1</v>
      </c>
      <c r="H3292" t="s">
        <v>2426</v>
      </c>
    </row>
    <row r="3293" spans="5:8" x14ac:dyDescent="0.2">
      <c r="G3293" t="str">
        <f>"26202.10"</f>
        <v>26202.10</v>
      </c>
      <c r="H3293" t="s">
        <v>2426</v>
      </c>
    </row>
    <row r="3294" spans="5:8" x14ac:dyDescent="0.2">
      <c r="F3294" t="str">
        <f>"26202.2"</f>
        <v>26202.2</v>
      </c>
      <c r="H3294" t="s">
        <v>2427</v>
      </c>
    </row>
    <row r="3295" spans="5:8" x14ac:dyDescent="0.2">
      <c r="G3295" t="str">
        <f>"26202.20"</f>
        <v>26202.20</v>
      </c>
      <c r="H3295" t="s">
        <v>2427</v>
      </c>
    </row>
    <row r="3296" spans="5:8" x14ac:dyDescent="0.2">
      <c r="F3296" t="str">
        <f>"26202.9"</f>
        <v>26202.9</v>
      </c>
      <c r="H3296" t="s">
        <v>2428</v>
      </c>
    </row>
    <row r="3297" spans="5:8" x14ac:dyDescent="0.2">
      <c r="G3297" t="str">
        <f>"26202.90"</f>
        <v>26202.90</v>
      </c>
      <c r="H3297" t="s">
        <v>2428</v>
      </c>
    </row>
    <row r="3298" spans="5:8" x14ac:dyDescent="0.2">
      <c r="E3298" t="str">
        <f>"26203"</f>
        <v>26203</v>
      </c>
      <c r="H3298" t="s">
        <v>2429</v>
      </c>
    </row>
    <row r="3299" spans="5:8" x14ac:dyDescent="0.2">
      <c r="F3299" t="str">
        <f>"26203.1"</f>
        <v>26203.1</v>
      </c>
      <c r="H3299" t="s">
        <v>2430</v>
      </c>
    </row>
    <row r="3300" spans="5:8" x14ac:dyDescent="0.2">
      <c r="G3300" t="str">
        <f>"26203.10"</f>
        <v>26203.10</v>
      </c>
      <c r="H3300" t="s">
        <v>2431</v>
      </c>
    </row>
    <row r="3301" spans="5:8" x14ac:dyDescent="0.2">
      <c r="F3301" t="str">
        <f>"26203.2"</f>
        <v>26203.2</v>
      </c>
      <c r="H3301" t="s">
        <v>2432</v>
      </c>
    </row>
    <row r="3302" spans="5:8" x14ac:dyDescent="0.2">
      <c r="G3302" t="str">
        <f>"26203.20"</f>
        <v>26203.20</v>
      </c>
      <c r="H3302" t="s">
        <v>2432</v>
      </c>
    </row>
    <row r="3303" spans="5:8" x14ac:dyDescent="0.2">
      <c r="F3303" t="str">
        <f>"26203.9"</f>
        <v>26203.9</v>
      </c>
      <c r="H3303" t="s">
        <v>2433</v>
      </c>
    </row>
    <row r="3304" spans="5:8" x14ac:dyDescent="0.2">
      <c r="G3304" t="str">
        <f>"26203.90"</f>
        <v>26203.90</v>
      </c>
      <c r="H3304" t="s">
        <v>2433</v>
      </c>
    </row>
    <row r="3305" spans="5:8" x14ac:dyDescent="0.2">
      <c r="E3305" t="str">
        <f>"26209"</f>
        <v>26209</v>
      </c>
      <c r="H3305" t="s">
        <v>2434</v>
      </c>
    </row>
    <row r="3306" spans="5:8" x14ac:dyDescent="0.2">
      <c r="F3306" t="str">
        <f>"26209.1"</f>
        <v>26209.1</v>
      </c>
      <c r="H3306" t="s">
        <v>2434</v>
      </c>
    </row>
    <row r="3307" spans="5:8" x14ac:dyDescent="0.2">
      <c r="G3307" t="str">
        <f>"26209.11"</f>
        <v>26209.11</v>
      </c>
      <c r="H3307" t="s">
        <v>2435</v>
      </c>
    </row>
    <row r="3308" spans="5:8" x14ac:dyDescent="0.2">
      <c r="G3308" t="str">
        <f>"26209.12"</f>
        <v>26209.12</v>
      </c>
      <c r="H3308" t="s">
        <v>2436</v>
      </c>
    </row>
    <row r="3309" spans="5:8" x14ac:dyDescent="0.2">
      <c r="G3309" t="str">
        <f>"26209.19"</f>
        <v>26209.19</v>
      </c>
      <c r="H3309" t="s">
        <v>2437</v>
      </c>
    </row>
    <row r="3310" spans="5:8" x14ac:dyDescent="0.2">
      <c r="F3310" t="str">
        <f>"26209.2"</f>
        <v>26209.2</v>
      </c>
      <c r="H3310" t="s">
        <v>2438</v>
      </c>
    </row>
    <row r="3311" spans="5:8" x14ac:dyDescent="0.2">
      <c r="G3311" t="str">
        <f>"26209.20"</f>
        <v>26209.20</v>
      </c>
      <c r="H3311" t="s">
        <v>2438</v>
      </c>
    </row>
    <row r="3312" spans="5:8" x14ac:dyDescent="0.2">
      <c r="F3312" t="str">
        <f>"26209.9"</f>
        <v>26209.9</v>
      </c>
      <c r="H3312" t="s">
        <v>2439</v>
      </c>
    </row>
    <row r="3313" spans="3:8" x14ac:dyDescent="0.2">
      <c r="G3313" t="str">
        <f>"26209.90"</f>
        <v>26209.90</v>
      </c>
      <c r="H3313" t="s">
        <v>2439</v>
      </c>
    </row>
    <row r="3314" spans="3:8" x14ac:dyDescent="0.2">
      <c r="C3314" t="str">
        <f>"263"</f>
        <v>263</v>
      </c>
      <c r="H3314" t="s">
        <v>2440</v>
      </c>
    </row>
    <row r="3315" spans="3:8" x14ac:dyDescent="0.2">
      <c r="D3315" t="str">
        <f>"2630"</f>
        <v>2630</v>
      </c>
      <c r="H3315" t="s">
        <v>2440</v>
      </c>
    </row>
    <row r="3316" spans="3:8" x14ac:dyDescent="0.2">
      <c r="E3316" t="str">
        <f>"26301"</f>
        <v>26301</v>
      </c>
      <c r="H3316" t="s">
        <v>2441</v>
      </c>
    </row>
    <row r="3317" spans="3:8" x14ac:dyDescent="0.2">
      <c r="F3317" t="str">
        <f>"26301.1"</f>
        <v>26301.1</v>
      </c>
      <c r="H3317" t="s">
        <v>2441</v>
      </c>
    </row>
    <row r="3318" spans="3:8" x14ac:dyDescent="0.2">
      <c r="G3318" t="str">
        <f>"26301.11"</f>
        <v>26301.11</v>
      </c>
      <c r="H3318" t="s">
        <v>2442</v>
      </c>
    </row>
    <row r="3319" spans="3:8" x14ac:dyDescent="0.2">
      <c r="G3319" t="str">
        <f>"26301.12"</f>
        <v>26301.12</v>
      </c>
      <c r="H3319" t="s">
        <v>2443</v>
      </c>
    </row>
    <row r="3320" spans="3:8" x14ac:dyDescent="0.2">
      <c r="G3320" t="str">
        <f>"26301.13"</f>
        <v>26301.13</v>
      </c>
      <c r="H3320" t="s">
        <v>2444</v>
      </c>
    </row>
    <row r="3321" spans="3:8" x14ac:dyDescent="0.2">
      <c r="F3321" t="str">
        <f>"26301.2"</f>
        <v>26301.2</v>
      </c>
      <c r="H3321" t="s">
        <v>2445</v>
      </c>
    </row>
    <row r="3322" spans="3:8" x14ac:dyDescent="0.2">
      <c r="G3322" t="str">
        <f>"26301.21"</f>
        <v>26301.21</v>
      </c>
      <c r="H3322" t="s">
        <v>2446</v>
      </c>
    </row>
    <row r="3323" spans="3:8" x14ac:dyDescent="0.2">
      <c r="G3323" t="str">
        <f>"26301.22"</f>
        <v>26301.22</v>
      </c>
      <c r="H3323" t="s">
        <v>2447</v>
      </c>
    </row>
    <row r="3324" spans="3:8" x14ac:dyDescent="0.2">
      <c r="G3324" t="str">
        <f>"26301.23"</f>
        <v>26301.23</v>
      </c>
      <c r="H3324" t="s">
        <v>2448</v>
      </c>
    </row>
    <row r="3325" spans="3:8" x14ac:dyDescent="0.2">
      <c r="F3325" t="str">
        <f>"26301.9"</f>
        <v>26301.9</v>
      </c>
      <c r="H3325" t="s">
        <v>2449</v>
      </c>
    </row>
    <row r="3326" spans="3:8" x14ac:dyDescent="0.2">
      <c r="G3326" t="str">
        <f>"26301.90"</f>
        <v>26301.90</v>
      </c>
      <c r="H3326" t="s">
        <v>2449</v>
      </c>
    </row>
    <row r="3327" spans="3:8" x14ac:dyDescent="0.2">
      <c r="E3327" t="str">
        <f>"26302"</f>
        <v>26302</v>
      </c>
      <c r="H3327" t="s">
        <v>2450</v>
      </c>
    </row>
    <row r="3328" spans="3:8" x14ac:dyDescent="0.2">
      <c r="F3328" t="str">
        <f>"26302.1"</f>
        <v>26302.1</v>
      </c>
      <c r="H3328" t="s">
        <v>2450</v>
      </c>
    </row>
    <row r="3329" spans="5:8" x14ac:dyDescent="0.2">
      <c r="G3329" t="str">
        <f>"26302.11"</f>
        <v>26302.11</v>
      </c>
      <c r="H3329" t="s">
        <v>2451</v>
      </c>
    </row>
    <row r="3330" spans="5:8" x14ac:dyDescent="0.2">
      <c r="G3330" t="str">
        <f>"26302.12"</f>
        <v>26302.12</v>
      </c>
      <c r="H3330" t="s">
        <v>2452</v>
      </c>
    </row>
    <row r="3331" spans="5:8" x14ac:dyDescent="0.2">
      <c r="F3331" t="str">
        <f>"26302.2"</f>
        <v>26302.2</v>
      </c>
      <c r="H3331" t="s">
        <v>2453</v>
      </c>
    </row>
    <row r="3332" spans="5:8" x14ac:dyDescent="0.2">
      <c r="G3332" t="str">
        <f>"26302.20"</f>
        <v>26302.20</v>
      </c>
      <c r="H3332" t="s">
        <v>2453</v>
      </c>
    </row>
    <row r="3333" spans="5:8" x14ac:dyDescent="0.2">
      <c r="F3333" t="str">
        <f>"26302.9"</f>
        <v>26302.9</v>
      </c>
      <c r="H3333" t="s">
        <v>2454</v>
      </c>
    </row>
    <row r="3334" spans="5:8" x14ac:dyDescent="0.2">
      <c r="G3334" t="str">
        <f>"26302.90"</f>
        <v>26302.90</v>
      </c>
      <c r="H3334" t="s">
        <v>2454</v>
      </c>
    </row>
    <row r="3335" spans="5:8" x14ac:dyDescent="0.2">
      <c r="E3335" t="str">
        <f>"26303"</f>
        <v>26303</v>
      </c>
      <c r="H3335" t="s">
        <v>2455</v>
      </c>
    </row>
    <row r="3336" spans="5:8" x14ac:dyDescent="0.2">
      <c r="F3336" t="str">
        <f>"26303.1"</f>
        <v>26303.1</v>
      </c>
      <c r="H3336" t="s">
        <v>2455</v>
      </c>
    </row>
    <row r="3337" spans="5:8" x14ac:dyDescent="0.2">
      <c r="G3337" t="str">
        <f>"26303.11"</f>
        <v>26303.11</v>
      </c>
      <c r="H3337" t="s">
        <v>2456</v>
      </c>
    </row>
    <row r="3338" spans="5:8" x14ac:dyDescent="0.2">
      <c r="G3338" t="str">
        <f>"26303.12"</f>
        <v>26303.12</v>
      </c>
      <c r="H3338" t="s">
        <v>2457</v>
      </c>
    </row>
    <row r="3339" spans="5:8" x14ac:dyDescent="0.2">
      <c r="G3339" t="str">
        <f>"26303.13"</f>
        <v>26303.13</v>
      </c>
      <c r="H3339" t="s">
        <v>2458</v>
      </c>
    </row>
    <row r="3340" spans="5:8" x14ac:dyDescent="0.2">
      <c r="F3340" t="str">
        <f>"26303.2"</f>
        <v>26303.2</v>
      </c>
      <c r="H3340" t="s">
        <v>2459</v>
      </c>
    </row>
    <row r="3341" spans="5:8" x14ac:dyDescent="0.2">
      <c r="G3341" t="str">
        <f>"26303.21"</f>
        <v>26303.21</v>
      </c>
      <c r="H3341" t="s">
        <v>2460</v>
      </c>
    </row>
    <row r="3342" spans="5:8" x14ac:dyDescent="0.2">
      <c r="G3342" t="str">
        <f>"26303.22"</f>
        <v>26303.22</v>
      </c>
      <c r="H3342" t="s">
        <v>2461</v>
      </c>
    </row>
    <row r="3343" spans="5:8" x14ac:dyDescent="0.2">
      <c r="F3343" t="str">
        <f>"26303.9"</f>
        <v>26303.9</v>
      </c>
      <c r="H3343" t="s">
        <v>2462</v>
      </c>
    </row>
    <row r="3344" spans="5:8" x14ac:dyDescent="0.2">
      <c r="G3344" t="str">
        <f>"26303.90"</f>
        <v>26303.90</v>
      </c>
      <c r="H3344" t="s">
        <v>2462</v>
      </c>
    </row>
    <row r="3345" spans="3:8" x14ac:dyDescent="0.2">
      <c r="E3345" t="str">
        <f>"26309"</f>
        <v>26309</v>
      </c>
      <c r="H3345" t="s">
        <v>2463</v>
      </c>
    </row>
    <row r="3346" spans="3:8" x14ac:dyDescent="0.2">
      <c r="F3346" t="str">
        <f>"26309.1"</f>
        <v>26309.1</v>
      </c>
      <c r="H3346" t="s">
        <v>2463</v>
      </c>
    </row>
    <row r="3347" spans="3:8" x14ac:dyDescent="0.2">
      <c r="G3347" t="str">
        <f>"26309.11"</f>
        <v>26309.11</v>
      </c>
      <c r="H3347" t="s">
        <v>2464</v>
      </c>
    </row>
    <row r="3348" spans="3:8" x14ac:dyDescent="0.2">
      <c r="G3348" t="str">
        <f>"26309.19"</f>
        <v>26309.19</v>
      </c>
      <c r="H3348" t="s">
        <v>2465</v>
      </c>
    </row>
    <row r="3349" spans="3:8" x14ac:dyDescent="0.2">
      <c r="F3349" t="str">
        <f>"26309.2"</f>
        <v>26309.2</v>
      </c>
      <c r="H3349" t="s">
        <v>2466</v>
      </c>
    </row>
    <row r="3350" spans="3:8" x14ac:dyDescent="0.2">
      <c r="G3350" t="str">
        <f>"26309.21"</f>
        <v>26309.21</v>
      </c>
      <c r="H3350" t="s">
        <v>2467</v>
      </c>
    </row>
    <row r="3351" spans="3:8" x14ac:dyDescent="0.2">
      <c r="G3351" t="str">
        <f>"26309.29"</f>
        <v>26309.29</v>
      </c>
      <c r="H3351" t="s">
        <v>2468</v>
      </c>
    </row>
    <row r="3352" spans="3:8" x14ac:dyDescent="0.2">
      <c r="F3352" t="str">
        <f>"26309.9"</f>
        <v>26309.9</v>
      </c>
      <c r="H3352" t="s">
        <v>2469</v>
      </c>
    </row>
    <row r="3353" spans="3:8" x14ac:dyDescent="0.2">
      <c r="G3353" t="str">
        <f>"26309.90"</f>
        <v>26309.90</v>
      </c>
      <c r="H3353" t="s">
        <v>2469</v>
      </c>
    </row>
    <row r="3354" spans="3:8" x14ac:dyDescent="0.2">
      <c r="C3354" t="str">
        <f>"264"</f>
        <v>264</v>
      </c>
      <c r="H3354" t="s">
        <v>2470</v>
      </c>
    </row>
    <row r="3355" spans="3:8" x14ac:dyDescent="0.2">
      <c r="D3355" t="str">
        <f>"2640"</f>
        <v>2640</v>
      </c>
      <c r="H3355" t="s">
        <v>2470</v>
      </c>
    </row>
    <row r="3356" spans="3:8" x14ac:dyDescent="0.2">
      <c r="E3356" t="str">
        <f>"26401"</f>
        <v>26401</v>
      </c>
      <c r="H3356" t="s">
        <v>2471</v>
      </c>
    </row>
    <row r="3357" spans="3:8" x14ac:dyDescent="0.2">
      <c r="F3357" t="str">
        <f>"26401.1"</f>
        <v>26401.1</v>
      </c>
      <c r="H3357" t="s">
        <v>2472</v>
      </c>
    </row>
    <row r="3358" spans="3:8" x14ac:dyDescent="0.2">
      <c r="G3358" t="str">
        <f>"26401.10"</f>
        <v>26401.10</v>
      </c>
      <c r="H3358" t="s">
        <v>2472</v>
      </c>
    </row>
    <row r="3359" spans="3:8" x14ac:dyDescent="0.2">
      <c r="F3359" t="str">
        <f>"26401.2"</f>
        <v>26401.2</v>
      </c>
      <c r="H3359" t="s">
        <v>2473</v>
      </c>
    </row>
    <row r="3360" spans="3:8" x14ac:dyDescent="0.2">
      <c r="G3360" t="str">
        <f>"26401.20"</f>
        <v>26401.20</v>
      </c>
      <c r="H3360" t="s">
        <v>2473</v>
      </c>
    </row>
    <row r="3361" spans="5:8" x14ac:dyDescent="0.2">
      <c r="F3361" t="str">
        <f>"26401.3"</f>
        <v>26401.3</v>
      </c>
      <c r="H3361" t="s">
        <v>2474</v>
      </c>
    </row>
    <row r="3362" spans="5:8" x14ac:dyDescent="0.2">
      <c r="G3362" t="str">
        <f>"26401.30"</f>
        <v>26401.30</v>
      </c>
      <c r="H3362" t="s">
        <v>2474</v>
      </c>
    </row>
    <row r="3363" spans="5:8" x14ac:dyDescent="0.2">
      <c r="F3363" t="str">
        <f>"26401.9"</f>
        <v>26401.9</v>
      </c>
      <c r="H3363" t="s">
        <v>2475</v>
      </c>
    </row>
    <row r="3364" spans="5:8" x14ac:dyDescent="0.2">
      <c r="G3364" t="str">
        <f>"26401.90"</f>
        <v>26401.90</v>
      </c>
      <c r="H3364" t="s">
        <v>2475</v>
      </c>
    </row>
    <row r="3365" spans="5:8" x14ac:dyDescent="0.2">
      <c r="E3365" t="str">
        <f>"26402"</f>
        <v>26402</v>
      </c>
      <c r="H3365" t="s">
        <v>2476</v>
      </c>
    </row>
    <row r="3366" spans="5:8" x14ac:dyDescent="0.2">
      <c r="F3366" t="str">
        <f>"26402.1"</f>
        <v>26402.1</v>
      </c>
      <c r="H3366" t="s">
        <v>2477</v>
      </c>
    </row>
    <row r="3367" spans="5:8" x14ac:dyDescent="0.2">
      <c r="G3367" t="str">
        <f>"26402.11"</f>
        <v>26402.11</v>
      </c>
      <c r="H3367" t="s">
        <v>2478</v>
      </c>
    </row>
    <row r="3368" spans="5:8" x14ac:dyDescent="0.2">
      <c r="G3368" t="str">
        <f>"26402.12"</f>
        <v>26402.12</v>
      </c>
      <c r="H3368" t="s">
        <v>2479</v>
      </c>
    </row>
    <row r="3369" spans="5:8" x14ac:dyDescent="0.2">
      <c r="F3369" t="str">
        <f>"26402.2"</f>
        <v>26402.2</v>
      </c>
      <c r="H3369" t="s">
        <v>2480</v>
      </c>
    </row>
    <row r="3370" spans="5:8" x14ac:dyDescent="0.2">
      <c r="G3370" t="str">
        <f>"26402.21"</f>
        <v>26402.21</v>
      </c>
      <c r="H3370" t="s">
        <v>2481</v>
      </c>
    </row>
    <row r="3371" spans="5:8" x14ac:dyDescent="0.2">
      <c r="G3371" t="str">
        <f>"26402.22"</f>
        <v>26402.22</v>
      </c>
      <c r="H3371" t="s">
        <v>2482</v>
      </c>
    </row>
    <row r="3372" spans="5:8" x14ac:dyDescent="0.2">
      <c r="G3372" t="str">
        <f>"26402.23"</f>
        <v>26402.23</v>
      </c>
      <c r="H3372" t="s">
        <v>2483</v>
      </c>
    </row>
    <row r="3373" spans="5:8" x14ac:dyDescent="0.2">
      <c r="F3373" t="str">
        <f>"26402.3"</f>
        <v>26402.3</v>
      </c>
      <c r="H3373" t="s">
        <v>2484</v>
      </c>
    </row>
    <row r="3374" spans="5:8" x14ac:dyDescent="0.2">
      <c r="G3374" t="str">
        <f>"26402.31"</f>
        <v>26402.31</v>
      </c>
      <c r="H3374" t="s">
        <v>2485</v>
      </c>
    </row>
    <row r="3375" spans="5:8" x14ac:dyDescent="0.2">
      <c r="G3375" t="str">
        <f>"26402.32"</f>
        <v>26402.32</v>
      </c>
      <c r="H3375" t="s">
        <v>2486</v>
      </c>
    </row>
    <row r="3376" spans="5:8" x14ac:dyDescent="0.2">
      <c r="F3376" t="str">
        <f>"26402.9"</f>
        <v>26402.9</v>
      </c>
      <c r="H3376" t="s">
        <v>2487</v>
      </c>
    </row>
    <row r="3377" spans="5:8" x14ac:dyDescent="0.2">
      <c r="G3377" t="str">
        <f>"26402.90"</f>
        <v>26402.90</v>
      </c>
      <c r="H3377" t="s">
        <v>2487</v>
      </c>
    </row>
    <row r="3378" spans="5:8" x14ac:dyDescent="0.2">
      <c r="E3378" t="str">
        <f>"26403"</f>
        <v>26403</v>
      </c>
      <c r="H3378" t="s">
        <v>2488</v>
      </c>
    </row>
    <row r="3379" spans="5:8" x14ac:dyDescent="0.2">
      <c r="F3379" t="str">
        <f>"26403.1"</f>
        <v>26403.1</v>
      </c>
      <c r="H3379" t="s">
        <v>2489</v>
      </c>
    </row>
    <row r="3380" spans="5:8" x14ac:dyDescent="0.2">
      <c r="G3380" t="str">
        <f>"26403.11"</f>
        <v>26403.11</v>
      </c>
      <c r="H3380" t="s">
        <v>2490</v>
      </c>
    </row>
    <row r="3381" spans="5:8" x14ac:dyDescent="0.2">
      <c r="G3381" t="str">
        <f>"26403.12"</f>
        <v>26403.12</v>
      </c>
      <c r="H3381" t="s">
        <v>2491</v>
      </c>
    </row>
    <row r="3382" spans="5:8" x14ac:dyDescent="0.2">
      <c r="G3382" t="str">
        <f>"26403.13"</f>
        <v>26403.13</v>
      </c>
      <c r="H3382" t="s">
        <v>2492</v>
      </c>
    </row>
    <row r="3383" spans="5:8" x14ac:dyDescent="0.2">
      <c r="F3383" t="str">
        <f>"26403.2"</f>
        <v>26403.2</v>
      </c>
      <c r="H3383" t="s">
        <v>2493</v>
      </c>
    </row>
    <row r="3384" spans="5:8" x14ac:dyDescent="0.2">
      <c r="G3384" t="str">
        <f>"26403.20"</f>
        <v>26403.20</v>
      </c>
      <c r="H3384" t="s">
        <v>2493</v>
      </c>
    </row>
    <row r="3385" spans="5:8" x14ac:dyDescent="0.2">
      <c r="F3385" t="str">
        <f>"26403.9"</f>
        <v>26403.9</v>
      </c>
      <c r="H3385" t="s">
        <v>2494</v>
      </c>
    </row>
    <row r="3386" spans="5:8" x14ac:dyDescent="0.2">
      <c r="G3386" t="str">
        <f>"26403.90"</f>
        <v>26403.90</v>
      </c>
      <c r="H3386" t="s">
        <v>2494</v>
      </c>
    </row>
    <row r="3387" spans="5:8" x14ac:dyDescent="0.2">
      <c r="E3387" t="str">
        <f>"26409"</f>
        <v>26409</v>
      </c>
      <c r="H3387" t="s">
        <v>2495</v>
      </c>
    </row>
    <row r="3388" spans="5:8" x14ac:dyDescent="0.2">
      <c r="F3388" t="str">
        <f>"26409.1"</f>
        <v>26409.1</v>
      </c>
      <c r="H3388" t="s">
        <v>2495</v>
      </c>
    </row>
    <row r="3389" spans="5:8" x14ac:dyDescent="0.2">
      <c r="G3389" t="str">
        <f>"26409.11"</f>
        <v>26409.11</v>
      </c>
      <c r="H3389" t="s">
        <v>2496</v>
      </c>
    </row>
    <row r="3390" spans="5:8" x14ac:dyDescent="0.2">
      <c r="G3390" t="str">
        <f>"26409.12"</f>
        <v>26409.12</v>
      </c>
      <c r="H3390" t="s">
        <v>2497</v>
      </c>
    </row>
    <row r="3391" spans="5:8" x14ac:dyDescent="0.2">
      <c r="G3391" t="str">
        <f>"26409.13"</f>
        <v>26409.13</v>
      </c>
      <c r="H3391" t="s">
        <v>2498</v>
      </c>
    </row>
    <row r="3392" spans="5:8" x14ac:dyDescent="0.2">
      <c r="G3392" t="str">
        <f>"26409.14"</f>
        <v>26409.14</v>
      </c>
      <c r="H3392" t="s">
        <v>2499</v>
      </c>
    </row>
    <row r="3393" spans="3:8" x14ac:dyDescent="0.2">
      <c r="F3393" t="str">
        <f>"26409.2"</f>
        <v>26409.2</v>
      </c>
      <c r="H3393" t="s">
        <v>2500</v>
      </c>
    </row>
    <row r="3394" spans="3:8" x14ac:dyDescent="0.2">
      <c r="G3394" t="str">
        <f>"26409.20"</f>
        <v>26409.20</v>
      </c>
      <c r="H3394" t="s">
        <v>2500</v>
      </c>
    </row>
    <row r="3395" spans="3:8" x14ac:dyDescent="0.2">
      <c r="F3395" t="str">
        <f>"26409.9"</f>
        <v>26409.9</v>
      </c>
      <c r="H3395" t="s">
        <v>2501</v>
      </c>
    </row>
    <row r="3396" spans="3:8" x14ac:dyDescent="0.2">
      <c r="G3396" t="str">
        <f>"26409.90"</f>
        <v>26409.90</v>
      </c>
      <c r="H3396" t="s">
        <v>2501</v>
      </c>
    </row>
    <row r="3397" spans="3:8" x14ac:dyDescent="0.2">
      <c r="C3397" t="str">
        <f>"265"</f>
        <v>265</v>
      </c>
      <c r="H3397" t="s">
        <v>2502</v>
      </c>
    </row>
    <row r="3398" spans="3:8" x14ac:dyDescent="0.2">
      <c r="D3398" t="str">
        <f>"2651"</f>
        <v>2651</v>
      </c>
      <c r="H3398" t="s">
        <v>2503</v>
      </c>
    </row>
    <row r="3399" spans="3:8" x14ac:dyDescent="0.2">
      <c r="E3399" t="str">
        <f>"26511"</f>
        <v>26511</v>
      </c>
      <c r="H3399" t="s">
        <v>2504</v>
      </c>
    </row>
    <row r="3400" spans="3:8" x14ac:dyDescent="0.2">
      <c r="F3400" t="str">
        <f>"26511.1"</f>
        <v>26511.1</v>
      </c>
      <c r="H3400" t="s">
        <v>2505</v>
      </c>
    </row>
    <row r="3401" spans="3:8" x14ac:dyDescent="0.2">
      <c r="G3401" t="str">
        <f>"26511.11"</f>
        <v>26511.11</v>
      </c>
      <c r="H3401" t="s">
        <v>2506</v>
      </c>
    </row>
    <row r="3402" spans="3:8" x14ac:dyDescent="0.2">
      <c r="G3402" t="str">
        <f>"26511.12"</f>
        <v>26511.12</v>
      </c>
      <c r="H3402" t="s">
        <v>2507</v>
      </c>
    </row>
    <row r="3403" spans="3:8" x14ac:dyDescent="0.2">
      <c r="F3403" t="str">
        <f>"26511.2"</f>
        <v>26511.2</v>
      </c>
      <c r="H3403" t="s">
        <v>2508</v>
      </c>
    </row>
    <row r="3404" spans="3:8" x14ac:dyDescent="0.2">
      <c r="G3404" t="str">
        <f>"26511.20"</f>
        <v>26511.20</v>
      </c>
      <c r="H3404" t="s">
        <v>2508</v>
      </c>
    </row>
    <row r="3405" spans="3:8" x14ac:dyDescent="0.2">
      <c r="F3405" t="str">
        <f>"26511.3"</f>
        <v>26511.3</v>
      </c>
      <c r="H3405" t="s">
        <v>2509</v>
      </c>
    </row>
    <row r="3406" spans="3:8" x14ac:dyDescent="0.2">
      <c r="G3406" t="str">
        <f>"26511.31"</f>
        <v>26511.31</v>
      </c>
      <c r="H3406" t="s">
        <v>2510</v>
      </c>
    </row>
    <row r="3407" spans="3:8" x14ac:dyDescent="0.2">
      <c r="G3407" t="str">
        <f>"26511.32"</f>
        <v>26511.32</v>
      </c>
      <c r="H3407" t="s">
        <v>2511</v>
      </c>
    </row>
    <row r="3408" spans="3:8" x14ac:dyDescent="0.2">
      <c r="G3408" t="str">
        <f>"26511.33"</f>
        <v>26511.33</v>
      </c>
      <c r="H3408" t="s">
        <v>2512</v>
      </c>
    </row>
    <row r="3409" spans="6:8" x14ac:dyDescent="0.2">
      <c r="F3409" t="str">
        <f>"26511.4"</f>
        <v>26511.4</v>
      </c>
      <c r="H3409" t="s">
        <v>2513</v>
      </c>
    </row>
    <row r="3410" spans="6:8" x14ac:dyDescent="0.2">
      <c r="G3410" t="str">
        <f>"26511.41"</f>
        <v>26511.41</v>
      </c>
      <c r="H3410" t="s">
        <v>2514</v>
      </c>
    </row>
    <row r="3411" spans="6:8" x14ac:dyDescent="0.2">
      <c r="G3411" t="str">
        <f>"26511.42"</f>
        <v>26511.42</v>
      </c>
      <c r="H3411" t="s">
        <v>2515</v>
      </c>
    </row>
    <row r="3412" spans="6:8" x14ac:dyDescent="0.2">
      <c r="G3412" t="str">
        <f>"26511.43"</f>
        <v>26511.43</v>
      </c>
      <c r="H3412" t="s">
        <v>2516</v>
      </c>
    </row>
    <row r="3413" spans="6:8" x14ac:dyDescent="0.2">
      <c r="G3413" t="str">
        <f>"26511.44"</f>
        <v>26511.44</v>
      </c>
      <c r="H3413" t="s">
        <v>2517</v>
      </c>
    </row>
    <row r="3414" spans="6:8" x14ac:dyDescent="0.2">
      <c r="G3414" t="str">
        <f>"26511.45"</f>
        <v>26511.45</v>
      </c>
      <c r="H3414" t="s">
        <v>2518</v>
      </c>
    </row>
    <row r="3415" spans="6:8" x14ac:dyDescent="0.2">
      <c r="F3415" t="str">
        <f>"26511.5"</f>
        <v>26511.5</v>
      </c>
      <c r="H3415" t="s">
        <v>2519</v>
      </c>
    </row>
    <row r="3416" spans="6:8" x14ac:dyDescent="0.2">
      <c r="G3416" t="str">
        <f>"26511.51"</f>
        <v>26511.51</v>
      </c>
      <c r="H3416" t="s">
        <v>2520</v>
      </c>
    </row>
    <row r="3417" spans="6:8" x14ac:dyDescent="0.2">
      <c r="G3417" t="str">
        <f>"26511.52"</f>
        <v>26511.52</v>
      </c>
      <c r="H3417" t="s">
        <v>2521</v>
      </c>
    </row>
    <row r="3418" spans="6:8" x14ac:dyDescent="0.2">
      <c r="G3418" t="str">
        <f>"26511.53"</f>
        <v>26511.53</v>
      </c>
      <c r="H3418" t="s">
        <v>2522</v>
      </c>
    </row>
    <row r="3419" spans="6:8" x14ac:dyDescent="0.2">
      <c r="F3419" t="str">
        <f>"26511.6"</f>
        <v>26511.6</v>
      </c>
      <c r="H3419" t="s">
        <v>2523</v>
      </c>
    </row>
    <row r="3420" spans="6:8" x14ac:dyDescent="0.2">
      <c r="G3420" t="str">
        <f>"26511.61"</f>
        <v>26511.61</v>
      </c>
      <c r="H3420" t="s">
        <v>2524</v>
      </c>
    </row>
    <row r="3421" spans="6:8" x14ac:dyDescent="0.2">
      <c r="G3421" t="str">
        <f>"26511.62"</f>
        <v>26511.62</v>
      </c>
      <c r="H3421" t="s">
        <v>2525</v>
      </c>
    </row>
    <row r="3422" spans="6:8" x14ac:dyDescent="0.2">
      <c r="G3422" t="str">
        <f>"26511.63"</f>
        <v>26511.63</v>
      </c>
      <c r="H3422" t="s">
        <v>2526</v>
      </c>
    </row>
    <row r="3423" spans="6:8" x14ac:dyDescent="0.2">
      <c r="G3423" t="str">
        <f>"26511.64"</f>
        <v>26511.64</v>
      </c>
      <c r="H3423" t="s">
        <v>2527</v>
      </c>
    </row>
    <row r="3424" spans="6:8" x14ac:dyDescent="0.2">
      <c r="G3424" t="str">
        <f>"26511.65"</f>
        <v>26511.65</v>
      </c>
      <c r="H3424" t="s">
        <v>2528</v>
      </c>
    </row>
    <row r="3425" spans="5:8" x14ac:dyDescent="0.2">
      <c r="G3425" t="str">
        <f>"26511.66"</f>
        <v>26511.66</v>
      </c>
      <c r="H3425" t="s">
        <v>2529</v>
      </c>
    </row>
    <row r="3426" spans="5:8" x14ac:dyDescent="0.2">
      <c r="F3426" t="str">
        <f>"26511.7"</f>
        <v>26511.7</v>
      </c>
      <c r="H3426" t="s">
        <v>2530</v>
      </c>
    </row>
    <row r="3427" spans="5:8" x14ac:dyDescent="0.2">
      <c r="G3427" t="str">
        <f>"26511.70"</f>
        <v>26511.70</v>
      </c>
      <c r="H3427" t="s">
        <v>2530</v>
      </c>
    </row>
    <row r="3428" spans="5:8" x14ac:dyDescent="0.2">
      <c r="F3428" t="str">
        <f>"26511.8"</f>
        <v>26511.8</v>
      </c>
      <c r="H3428" t="s">
        <v>2531</v>
      </c>
    </row>
    <row r="3429" spans="5:8" x14ac:dyDescent="0.2">
      <c r="G3429" t="str">
        <f>"26511.81"</f>
        <v>26511.81</v>
      </c>
      <c r="H3429" t="s">
        <v>2532</v>
      </c>
    </row>
    <row r="3430" spans="5:8" x14ac:dyDescent="0.2">
      <c r="G3430" t="str">
        <f>"26511.82"</f>
        <v>26511.82</v>
      </c>
      <c r="H3430" t="s">
        <v>2533</v>
      </c>
    </row>
    <row r="3431" spans="5:8" x14ac:dyDescent="0.2">
      <c r="G3431" t="str">
        <f>"26511.83"</f>
        <v>26511.83</v>
      </c>
      <c r="H3431" t="s">
        <v>2534</v>
      </c>
    </row>
    <row r="3432" spans="5:8" x14ac:dyDescent="0.2">
      <c r="G3432" t="str">
        <f>"26511.84"</f>
        <v>26511.84</v>
      </c>
      <c r="H3432" t="s">
        <v>2535</v>
      </c>
    </row>
    <row r="3433" spans="5:8" x14ac:dyDescent="0.2">
      <c r="G3433" t="str">
        <f>"26511.85"</f>
        <v>26511.85</v>
      </c>
      <c r="H3433" t="s">
        <v>2536</v>
      </c>
    </row>
    <row r="3434" spans="5:8" x14ac:dyDescent="0.2">
      <c r="G3434" t="str">
        <f>"26511.86"</f>
        <v>26511.86</v>
      </c>
      <c r="H3434" t="s">
        <v>2537</v>
      </c>
    </row>
    <row r="3435" spans="5:8" x14ac:dyDescent="0.2">
      <c r="F3435" t="str">
        <f>"26511.9"</f>
        <v>26511.9</v>
      </c>
      <c r="H3435" t="s">
        <v>2538</v>
      </c>
    </row>
    <row r="3436" spans="5:8" x14ac:dyDescent="0.2">
      <c r="G3436" t="str">
        <f>"26511.90"</f>
        <v>26511.90</v>
      </c>
      <c r="H3436" t="s">
        <v>2538</v>
      </c>
    </row>
    <row r="3437" spans="5:8" x14ac:dyDescent="0.2">
      <c r="E3437" t="str">
        <f>"26512"</f>
        <v>26512</v>
      </c>
      <c r="H3437" t="s">
        <v>2539</v>
      </c>
    </row>
    <row r="3438" spans="5:8" x14ac:dyDescent="0.2">
      <c r="F3438" t="str">
        <f>"26512.1"</f>
        <v>26512.1</v>
      </c>
      <c r="H3438" t="s">
        <v>2540</v>
      </c>
    </row>
    <row r="3439" spans="5:8" x14ac:dyDescent="0.2">
      <c r="G3439" t="str">
        <f>"26512.10"</f>
        <v>26512.10</v>
      </c>
      <c r="H3439" t="s">
        <v>2541</v>
      </c>
    </row>
    <row r="3440" spans="5:8" x14ac:dyDescent="0.2">
      <c r="F3440" t="str">
        <f>"26512.2"</f>
        <v>26512.2</v>
      </c>
      <c r="H3440" t="s">
        <v>2542</v>
      </c>
    </row>
    <row r="3441" spans="4:8" x14ac:dyDescent="0.2">
      <c r="G3441" t="str">
        <f>"26512.20"</f>
        <v>26512.20</v>
      </c>
      <c r="H3441" t="s">
        <v>2542</v>
      </c>
    </row>
    <row r="3442" spans="4:8" x14ac:dyDescent="0.2">
      <c r="F3442" t="str">
        <f>"26512.9"</f>
        <v>26512.9</v>
      </c>
      <c r="H3442" t="s">
        <v>2543</v>
      </c>
    </row>
    <row r="3443" spans="4:8" x14ac:dyDescent="0.2">
      <c r="G3443" t="str">
        <f>"26512.90"</f>
        <v>26512.90</v>
      </c>
      <c r="H3443" t="s">
        <v>2543</v>
      </c>
    </row>
    <row r="3444" spans="4:8" x14ac:dyDescent="0.2">
      <c r="D3444" t="str">
        <f>"2652"</f>
        <v>2652</v>
      </c>
      <c r="H3444" t="s">
        <v>2544</v>
      </c>
    </row>
    <row r="3445" spans="4:8" x14ac:dyDescent="0.2">
      <c r="E3445" t="str">
        <f>"26521"</f>
        <v>26521</v>
      </c>
      <c r="H3445" t="s">
        <v>2544</v>
      </c>
    </row>
    <row r="3446" spans="4:8" x14ac:dyDescent="0.2">
      <c r="F3446" t="str">
        <f>"26521.1"</f>
        <v>26521.1</v>
      </c>
      <c r="H3446" t="s">
        <v>2545</v>
      </c>
    </row>
    <row r="3447" spans="4:8" x14ac:dyDescent="0.2">
      <c r="G3447" t="str">
        <f>"26521.11"</f>
        <v>26521.11</v>
      </c>
      <c r="H3447" t="s">
        <v>2546</v>
      </c>
    </row>
    <row r="3448" spans="4:8" x14ac:dyDescent="0.2">
      <c r="G3448" t="str">
        <f>"26521.12"</f>
        <v>26521.12</v>
      </c>
      <c r="H3448" t="s">
        <v>2547</v>
      </c>
    </row>
    <row r="3449" spans="4:8" x14ac:dyDescent="0.2">
      <c r="G3449" t="str">
        <f>"26521.13"</f>
        <v>26521.13</v>
      </c>
      <c r="H3449" t="s">
        <v>2548</v>
      </c>
    </row>
    <row r="3450" spans="4:8" x14ac:dyDescent="0.2">
      <c r="G3450" t="str">
        <f>"26521.14"</f>
        <v>26521.14</v>
      </c>
      <c r="H3450" t="s">
        <v>2549</v>
      </c>
    </row>
    <row r="3451" spans="4:8" x14ac:dyDescent="0.2">
      <c r="F3451" t="str">
        <f>"26521.2"</f>
        <v>26521.2</v>
      </c>
      <c r="H3451" t="s">
        <v>2550</v>
      </c>
    </row>
    <row r="3452" spans="4:8" x14ac:dyDescent="0.2">
      <c r="G3452" t="str">
        <f>"26521.21"</f>
        <v>26521.21</v>
      </c>
      <c r="H3452" t="s">
        <v>2551</v>
      </c>
    </row>
    <row r="3453" spans="4:8" x14ac:dyDescent="0.2">
      <c r="G3453" t="str">
        <f>"26521.22"</f>
        <v>26521.22</v>
      </c>
      <c r="H3453" t="s">
        <v>2552</v>
      </c>
    </row>
    <row r="3454" spans="4:8" x14ac:dyDescent="0.2">
      <c r="G3454" t="str">
        <f>"26521.23"</f>
        <v>26521.23</v>
      </c>
      <c r="H3454" t="s">
        <v>2553</v>
      </c>
    </row>
    <row r="3455" spans="4:8" x14ac:dyDescent="0.2">
      <c r="G3455" t="str">
        <f>"26521.24"</f>
        <v>26521.24</v>
      </c>
      <c r="H3455" t="s">
        <v>2554</v>
      </c>
    </row>
    <row r="3456" spans="4:8" x14ac:dyDescent="0.2">
      <c r="G3456" t="str">
        <f>"26521.25"</f>
        <v>26521.25</v>
      </c>
      <c r="H3456" t="s">
        <v>2555</v>
      </c>
    </row>
    <row r="3457" spans="3:8" x14ac:dyDescent="0.2">
      <c r="G3457" t="str">
        <f>"26521.26"</f>
        <v>26521.26</v>
      </c>
      <c r="H3457" t="s">
        <v>2556</v>
      </c>
    </row>
    <row r="3458" spans="3:8" x14ac:dyDescent="0.2">
      <c r="G3458" t="str">
        <f>"26521.29"</f>
        <v>26521.29</v>
      </c>
      <c r="H3458" t="s">
        <v>2557</v>
      </c>
    </row>
    <row r="3459" spans="3:8" x14ac:dyDescent="0.2">
      <c r="F3459" t="str">
        <f>"26521.9"</f>
        <v>26521.9</v>
      </c>
      <c r="H3459" t="s">
        <v>2558</v>
      </c>
    </row>
    <row r="3460" spans="3:8" x14ac:dyDescent="0.2">
      <c r="G3460" t="str">
        <f>"26521.90"</f>
        <v>26521.90</v>
      </c>
      <c r="H3460" t="s">
        <v>2558</v>
      </c>
    </row>
    <row r="3461" spans="3:8" x14ac:dyDescent="0.2">
      <c r="E3461" t="str">
        <f>"26529"</f>
        <v>26529</v>
      </c>
      <c r="H3461" t="s">
        <v>2559</v>
      </c>
    </row>
    <row r="3462" spans="3:8" x14ac:dyDescent="0.2">
      <c r="F3462" t="str">
        <f>"26529.1"</f>
        <v>26529.1</v>
      </c>
      <c r="H3462" t="s">
        <v>2560</v>
      </c>
    </row>
    <row r="3463" spans="3:8" x14ac:dyDescent="0.2">
      <c r="F3463" t="str">
        <f>"26529.10"</f>
        <v>26529.10</v>
      </c>
      <c r="H3463" t="s">
        <v>2560</v>
      </c>
    </row>
    <row r="3464" spans="3:8" x14ac:dyDescent="0.2">
      <c r="F3464" t="str">
        <f>"26529.2"</f>
        <v>26529.2</v>
      </c>
      <c r="H3464" t="s">
        <v>2561</v>
      </c>
    </row>
    <row r="3465" spans="3:8" x14ac:dyDescent="0.2">
      <c r="G3465" t="str">
        <f>"26529.20"</f>
        <v>26529.20</v>
      </c>
      <c r="H3465" t="s">
        <v>2561</v>
      </c>
    </row>
    <row r="3466" spans="3:8" x14ac:dyDescent="0.2">
      <c r="F3466" t="str">
        <f>"26529.9"</f>
        <v>26529.9</v>
      </c>
      <c r="H3466" t="s">
        <v>2562</v>
      </c>
    </row>
    <row r="3467" spans="3:8" x14ac:dyDescent="0.2">
      <c r="G3467" t="str">
        <f>"26529.90"</f>
        <v>26529.90</v>
      </c>
      <c r="H3467" t="s">
        <v>2562</v>
      </c>
    </row>
    <row r="3468" spans="3:8" x14ac:dyDescent="0.2">
      <c r="C3468" t="str">
        <f>"266"</f>
        <v>266</v>
      </c>
      <c r="H3468" t="s">
        <v>2563</v>
      </c>
    </row>
    <row r="3469" spans="3:8" x14ac:dyDescent="0.2">
      <c r="D3469" t="str">
        <f>"2660"</f>
        <v>2660</v>
      </c>
      <c r="H3469" t="s">
        <v>2563</v>
      </c>
    </row>
    <row r="3470" spans="3:8" x14ac:dyDescent="0.2">
      <c r="E3470" t="str">
        <f>"26600"</f>
        <v>26600</v>
      </c>
      <c r="H3470" t="s">
        <v>2564</v>
      </c>
    </row>
    <row r="3471" spans="3:8" x14ac:dyDescent="0.2">
      <c r="F3471" t="str">
        <f>"26600.1"</f>
        <v>26600.1</v>
      </c>
      <c r="H3471" t="s">
        <v>2563</v>
      </c>
    </row>
    <row r="3472" spans="3:8" x14ac:dyDescent="0.2">
      <c r="G3472" t="str">
        <f>"26600.11"</f>
        <v>26600.11</v>
      </c>
      <c r="H3472" t="s">
        <v>2565</v>
      </c>
    </row>
    <row r="3473" spans="3:8" x14ac:dyDescent="0.2">
      <c r="G3473" t="str">
        <f>"26600.12"</f>
        <v>26600.12</v>
      </c>
      <c r="H3473" t="s">
        <v>2566</v>
      </c>
    </row>
    <row r="3474" spans="3:8" x14ac:dyDescent="0.2">
      <c r="G3474" t="str">
        <f>"26600.13"</f>
        <v>26600.13</v>
      </c>
      <c r="H3474" t="s">
        <v>2567</v>
      </c>
    </row>
    <row r="3475" spans="3:8" x14ac:dyDescent="0.2">
      <c r="G3475" t="str">
        <f>"26600.14"</f>
        <v>26600.14</v>
      </c>
      <c r="H3475" t="s">
        <v>2568</v>
      </c>
    </row>
    <row r="3476" spans="3:8" x14ac:dyDescent="0.2">
      <c r="F3476" t="str">
        <f>"26600.9"</f>
        <v>26600.9</v>
      </c>
      <c r="H3476" t="s">
        <v>2569</v>
      </c>
    </row>
    <row r="3477" spans="3:8" x14ac:dyDescent="0.2">
      <c r="G3477" t="str">
        <f>"26600.90"</f>
        <v>26600.90</v>
      </c>
      <c r="H3477" t="s">
        <v>2569</v>
      </c>
    </row>
    <row r="3478" spans="3:8" x14ac:dyDescent="0.2">
      <c r="C3478" t="str">
        <f>"267"</f>
        <v>267</v>
      </c>
      <c r="H3478" t="s">
        <v>2570</v>
      </c>
    </row>
    <row r="3479" spans="3:8" x14ac:dyDescent="0.2">
      <c r="D3479" t="str">
        <f>"2670"</f>
        <v>2670</v>
      </c>
      <c r="H3479" t="s">
        <v>2570</v>
      </c>
    </row>
    <row r="3480" spans="3:8" x14ac:dyDescent="0.2">
      <c r="E3480" t="str">
        <f>"26701"</f>
        <v>26701</v>
      </c>
      <c r="H3480" t="s">
        <v>2571</v>
      </c>
    </row>
    <row r="3481" spans="3:8" x14ac:dyDescent="0.2">
      <c r="F3481" t="str">
        <f>"26701.1"</f>
        <v>26701.1</v>
      </c>
      <c r="H3481" t="s">
        <v>2572</v>
      </c>
    </row>
    <row r="3482" spans="3:8" x14ac:dyDescent="0.2">
      <c r="G3482" t="str">
        <f>"26701.11"</f>
        <v>26701.11</v>
      </c>
      <c r="H3482" t="s">
        <v>2573</v>
      </c>
    </row>
    <row r="3483" spans="3:8" x14ac:dyDescent="0.2">
      <c r="G3483" t="str">
        <f>"26701.12"</f>
        <v>26701.12</v>
      </c>
      <c r="H3483" t="s">
        <v>2574</v>
      </c>
    </row>
    <row r="3484" spans="3:8" x14ac:dyDescent="0.2">
      <c r="G3484" t="str">
        <f>"26701.13"</f>
        <v>26701.13</v>
      </c>
      <c r="H3484" t="s">
        <v>2575</v>
      </c>
    </row>
    <row r="3485" spans="3:8" x14ac:dyDescent="0.2">
      <c r="F3485" t="str">
        <f>"26701.9"</f>
        <v>26701.9</v>
      </c>
      <c r="H3485" t="s">
        <v>2576</v>
      </c>
    </row>
    <row r="3486" spans="3:8" x14ac:dyDescent="0.2">
      <c r="G3486" t="str">
        <f>"26701.90"</f>
        <v>26701.90</v>
      </c>
      <c r="H3486" t="s">
        <v>2576</v>
      </c>
    </row>
    <row r="3487" spans="3:8" x14ac:dyDescent="0.2">
      <c r="E3487" t="str">
        <f>"26702"</f>
        <v>26702</v>
      </c>
      <c r="H3487" t="s">
        <v>2577</v>
      </c>
    </row>
    <row r="3488" spans="3:8" x14ac:dyDescent="0.2">
      <c r="F3488" t="str">
        <f>"26702.1"</f>
        <v>26702.1</v>
      </c>
      <c r="H3488" t="s">
        <v>2577</v>
      </c>
    </row>
    <row r="3489" spans="5:8" x14ac:dyDescent="0.2">
      <c r="G3489" t="str">
        <f>"26702.11"</f>
        <v>26702.11</v>
      </c>
      <c r="H3489" t="s">
        <v>2578</v>
      </c>
    </row>
    <row r="3490" spans="5:8" x14ac:dyDescent="0.2">
      <c r="G3490" t="str">
        <f>"26702.12"</f>
        <v>26702.12</v>
      </c>
      <c r="H3490" t="s">
        <v>2579</v>
      </c>
    </row>
    <row r="3491" spans="5:8" x14ac:dyDescent="0.2">
      <c r="F3491" t="str">
        <f>"26702.2"</f>
        <v>26702.2</v>
      </c>
      <c r="H3491" t="s">
        <v>2580</v>
      </c>
    </row>
    <row r="3492" spans="5:8" x14ac:dyDescent="0.2">
      <c r="G3492" t="str">
        <f>"26702.21"</f>
        <v>26702.21</v>
      </c>
      <c r="H3492" t="s">
        <v>2581</v>
      </c>
    </row>
    <row r="3493" spans="5:8" x14ac:dyDescent="0.2">
      <c r="G3493" t="str">
        <f>"26702.22"</f>
        <v>26702.22</v>
      </c>
      <c r="H3493" t="s">
        <v>2582</v>
      </c>
    </row>
    <row r="3494" spans="5:8" x14ac:dyDescent="0.2">
      <c r="F3494" t="str">
        <f>"26702.9"</f>
        <v>26702.9</v>
      </c>
      <c r="H3494" t="s">
        <v>2583</v>
      </c>
    </row>
    <row r="3495" spans="5:8" x14ac:dyDescent="0.2">
      <c r="G3495" t="str">
        <f>"26702.90"</f>
        <v>26702.90</v>
      </c>
      <c r="H3495" t="s">
        <v>2583</v>
      </c>
    </row>
    <row r="3496" spans="5:8" x14ac:dyDescent="0.2">
      <c r="E3496" t="str">
        <f>"26703"</f>
        <v>26703</v>
      </c>
      <c r="H3496" t="s">
        <v>2584</v>
      </c>
    </row>
    <row r="3497" spans="5:8" x14ac:dyDescent="0.2">
      <c r="F3497" t="str">
        <f>"26703.1"</f>
        <v>26703.1</v>
      </c>
      <c r="H3497" t="s">
        <v>2584</v>
      </c>
    </row>
    <row r="3498" spans="5:8" x14ac:dyDescent="0.2">
      <c r="G3498" t="str">
        <f>"26703.11"</f>
        <v>26703.11</v>
      </c>
      <c r="H3498" t="s">
        <v>2585</v>
      </c>
    </row>
    <row r="3499" spans="5:8" x14ac:dyDescent="0.2">
      <c r="G3499" t="str">
        <f>"26703.12"</f>
        <v>26703.12</v>
      </c>
      <c r="H3499" t="s">
        <v>2586</v>
      </c>
    </row>
    <row r="3500" spans="5:8" x14ac:dyDescent="0.2">
      <c r="G3500" t="str">
        <f>"26703.13"</f>
        <v>26703.13</v>
      </c>
      <c r="H3500" t="s">
        <v>2587</v>
      </c>
    </row>
    <row r="3501" spans="5:8" x14ac:dyDescent="0.2">
      <c r="G3501" t="str">
        <f>"26703.14"</f>
        <v>26703.14</v>
      </c>
      <c r="H3501" t="s">
        <v>2588</v>
      </c>
    </row>
    <row r="3502" spans="5:8" x14ac:dyDescent="0.2">
      <c r="G3502" t="str">
        <f>"26703.15"</f>
        <v>26703.15</v>
      </c>
      <c r="H3502" t="s">
        <v>2589</v>
      </c>
    </row>
    <row r="3503" spans="5:8" x14ac:dyDescent="0.2">
      <c r="G3503" t="str">
        <f>"26703.16"</f>
        <v>26703.16</v>
      </c>
      <c r="H3503" t="s">
        <v>2590</v>
      </c>
    </row>
    <row r="3504" spans="5:8" x14ac:dyDescent="0.2">
      <c r="G3504" t="str">
        <f>"26703.17"</f>
        <v>26703.17</v>
      </c>
      <c r="H3504" t="s">
        <v>2591</v>
      </c>
    </row>
    <row r="3505" spans="2:8" x14ac:dyDescent="0.2">
      <c r="F3505" t="str">
        <f>"26703.2"</f>
        <v>26703.2</v>
      </c>
      <c r="H3505" t="s">
        <v>2592</v>
      </c>
    </row>
    <row r="3506" spans="2:8" x14ac:dyDescent="0.2">
      <c r="G3506" t="str">
        <f>"26703.20"</f>
        <v>26703.20</v>
      </c>
      <c r="H3506" t="s">
        <v>2592</v>
      </c>
    </row>
    <row r="3507" spans="2:8" x14ac:dyDescent="0.2">
      <c r="F3507" t="str">
        <f>"26703.9"</f>
        <v>26703.9</v>
      </c>
      <c r="H3507" t="s">
        <v>2593</v>
      </c>
    </row>
    <row r="3508" spans="2:8" x14ac:dyDescent="0.2">
      <c r="G3508" t="str">
        <f>"26703.90"</f>
        <v>26703.90</v>
      </c>
      <c r="H3508" t="s">
        <v>2593</v>
      </c>
    </row>
    <row r="3509" spans="2:8" x14ac:dyDescent="0.2">
      <c r="C3509" t="str">
        <f>"268"</f>
        <v>268</v>
      </c>
      <c r="H3509" t="s">
        <v>2594</v>
      </c>
    </row>
    <row r="3510" spans="2:8" x14ac:dyDescent="0.2">
      <c r="D3510" t="str">
        <f>"2680"</f>
        <v>2680</v>
      </c>
      <c r="H3510" t="s">
        <v>2594</v>
      </c>
    </row>
    <row r="3511" spans="2:8" x14ac:dyDescent="0.2">
      <c r="E3511" t="str">
        <f>"26800"</f>
        <v>26800</v>
      </c>
      <c r="H3511" t="s">
        <v>2594</v>
      </c>
    </row>
    <row r="3512" spans="2:8" x14ac:dyDescent="0.2">
      <c r="F3512" t="str">
        <f>"26800.1"</f>
        <v>26800.1</v>
      </c>
      <c r="H3512" t="s">
        <v>2594</v>
      </c>
    </row>
    <row r="3513" spans="2:8" x14ac:dyDescent="0.2">
      <c r="G3513" t="str">
        <f>"26800.11"</f>
        <v>26800.11</v>
      </c>
      <c r="H3513" t="s">
        <v>2595</v>
      </c>
    </row>
    <row r="3514" spans="2:8" x14ac:dyDescent="0.2">
      <c r="G3514" t="str">
        <f>"26800.12"</f>
        <v>26800.12</v>
      </c>
      <c r="H3514" t="s">
        <v>2596</v>
      </c>
    </row>
    <row r="3515" spans="2:8" x14ac:dyDescent="0.2">
      <c r="G3515" t="str">
        <f>"26800.13"</f>
        <v>26800.13</v>
      </c>
      <c r="H3515" t="s">
        <v>2597</v>
      </c>
    </row>
    <row r="3516" spans="2:8" x14ac:dyDescent="0.2">
      <c r="G3516" t="str">
        <f>"26800.14"</f>
        <v>26800.14</v>
      </c>
      <c r="H3516" t="s">
        <v>2598</v>
      </c>
    </row>
    <row r="3517" spans="2:8" x14ac:dyDescent="0.2">
      <c r="G3517" t="str">
        <f>"26800.19"</f>
        <v>26800.19</v>
      </c>
      <c r="H3517" t="s">
        <v>2599</v>
      </c>
    </row>
    <row r="3518" spans="2:8" x14ac:dyDescent="0.2">
      <c r="F3518" t="str">
        <f>"26800.9"</f>
        <v>26800.9</v>
      </c>
      <c r="H3518" t="s">
        <v>2600</v>
      </c>
    </row>
    <row r="3519" spans="2:8" x14ac:dyDescent="0.2">
      <c r="G3519" t="str">
        <f>"26800.90"</f>
        <v>26800.90</v>
      </c>
      <c r="H3519" t="s">
        <v>2600</v>
      </c>
    </row>
    <row r="3520" spans="2:8" x14ac:dyDescent="0.2">
      <c r="B3520" t="str">
        <f>"27"</f>
        <v>27</v>
      </c>
      <c r="H3520" t="s">
        <v>2601</v>
      </c>
    </row>
    <row r="3521" spans="3:8" x14ac:dyDescent="0.2">
      <c r="C3521" t="str">
        <f>"271"</f>
        <v>271</v>
      </c>
      <c r="H3521" t="s">
        <v>2602</v>
      </c>
    </row>
    <row r="3522" spans="3:8" x14ac:dyDescent="0.2">
      <c r="D3522" t="str">
        <f>"2710"</f>
        <v>2710</v>
      </c>
      <c r="H3522" t="s">
        <v>2602</v>
      </c>
    </row>
    <row r="3523" spans="3:8" x14ac:dyDescent="0.2">
      <c r="E3523" t="str">
        <f>"27101"</f>
        <v>27101</v>
      </c>
      <c r="H3523" t="s">
        <v>2603</v>
      </c>
    </row>
    <row r="3524" spans="3:8" x14ac:dyDescent="0.2">
      <c r="F3524" t="str">
        <f>"27101.1"</f>
        <v>27101.1</v>
      </c>
      <c r="H3524" t="s">
        <v>2604</v>
      </c>
    </row>
    <row r="3525" spans="3:8" x14ac:dyDescent="0.2">
      <c r="G3525" t="str">
        <f>"27101.10"</f>
        <v>27101.10</v>
      </c>
      <c r="H3525" t="s">
        <v>2604</v>
      </c>
    </row>
    <row r="3526" spans="3:8" x14ac:dyDescent="0.2">
      <c r="F3526" t="str">
        <f>"27101.2"</f>
        <v>27101.2</v>
      </c>
      <c r="H3526" t="s">
        <v>2605</v>
      </c>
    </row>
    <row r="3527" spans="3:8" x14ac:dyDescent="0.2">
      <c r="G3527" t="str">
        <f>"27101.21"</f>
        <v>27101.21</v>
      </c>
      <c r="H3527" t="s">
        <v>2606</v>
      </c>
    </row>
    <row r="3528" spans="3:8" x14ac:dyDescent="0.2">
      <c r="G3528" t="str">
        <f>"27101.22"</f>
        <v>27101.22</v>
      </c>
      <c r="H3528" t="s">
        <v>2607</v>
      </c>
    </row>
    <row r="3529" spans="3:8" x14ac:dyDescent="0.2">
      <c r="G3529" t="str">
        <f>"27101.23"</f>
        <v>27101.23</v>
      </c>
      <c r="H3529" t="s">
        <v>2608</v>
      </c>
    </row>
    <row r="3530" spans="3:8" x14ac:dyDescent="0.2">
      <c r="G3530" t="str">
        <f>"27101.24"</f>
        <v>27101.24</v>
      </c>
      <c r="H3530" t="s">
        <v>2609</v>
      </c>
    </row>
    <row r="3531" spans="3:8" x14ac:dyDescent="0.2">
      <c r="G3531" t="str">
        <f>"27101.25"</f>
        <v>27101.25</v>
      </c>
      <c r="H3531" t="s">
        <v>2610</v>
      </c>
    </row>
    <row r="3532" spans="3:8" x14ac:dyDescent="0.2">
      <c r="G3532" t="str">
        <f>"27101.26"</f>
        <v>27101.26</v>
      </c>
      <c r="H3532" t="s">
        <v>2611</v>
      </c>
    </row>
    <row r="3533" spans="3:8" x14ac:dyDescent="0.2">
      <c r="F3533" t="str">
        <f>"27101.3"</f>
        <v>27101.3</v>
      </c>
      <c r="H3533" t="s">
        <v>2612</v>
      </c>
    </row>
    <row r="3534" spans="3:8" x14ac:dyDescent="0.2">
      <c r="G3534" t="str">
        <f>"27101.31"</f>
        <v>27101.31</v>
      </c>
      <c r="H3534" t="s">
        <v>2613</v>
      </c>
    </row>
    <row r="3535" spans="3:8" x14ac:dyDescent="0.2">
      <c r="G3535" t="str">
        <f>"27101.32"</f>
        <v>27101.32</v>
      </c>
      <c r="H3535" t="s">
        <v>2614</v>
      </c>
    </row>
    <row r="3536" spans="3:8" x14ac:dyDescent="0.2">
      <c r="F3536" t="str">
        <f>"27101.4"</f>
        <v>27101.4</v>
      </c>
      <c r="H3536" t="s">
        <v>2615</v>
      </c>
    </row>
    <row r="3537" spans="5:8" x14ac:dyDescent="0.2">
      <c r="G3537" t="str">
        <f>"27101.40"</f>
        <v>27101.40</v>
      </c>
      <c r="H3537" t="s">
        <v>2615</v>
      </c>
    </row>
    <row r="3538" spans="5:8" x14ac:dyDescent="0.2">
      <c r="F3538" t="str">
        <f>"27101.9"</f>
        <v>27101.9</v>
      </c>
      <c r="H3538" t="s">
        <v>2616</v>
      </c>
    </row>
    <row r="3539" spans="5:8" x14ac:dyDescent="0.2">
      <c r="G3539" t="str">
        <f>"27101.90"</f>
        <v>27101.90</v>
      </c>
      <c r="H3539" t="s">
        <v>2616</v>
      </c>
    </row>
    <row r="3540" spans="5:8" x14ac:dyDescent="0.2">
      <c r="E3540" t="str">
        <f>"27102"</f>
        <v>27102</v>
      </c>
      <c r="H3540" t="s">
        <v>2617</v>
      </c>
    </row>
    <row r="3541" spans="5:8" x14ac:dyDescent="0.2">
      <c r="F3541" t="str">
        <f>"27102.1"</f>
        <v>27102.1</v>
      </c>
      <c r="H3541" t="s">
        <v>2617</v>
      </c>
    </row>
    <row r="3542" spans="5:8" x14ac:dyDescent="0.2">
      <c r="G3542" t="str">
        <f>"27102.11"</f>
        <v>27102.11</v>
      </c>
      <c r="H3542" t="s">
        <v>2618</v>
      </c>
    </row>
    <row r="3543" spans="5:8" x14ac:dyDescent="0.2">
      <c r="G3543" t="str">
        <f>"27102.12"</f>
        <v>27102.12</v>
      </c>
      <c r="H3543" t="s">
        <v>2619</v>
      </c>
    </row>
    <row r="3544" spans="5:8" x14ac:dyDescent="0.2">
      <c r="G3544" t="str">
        <f>"27102.13"</f>
        <v>27102.13</v>
      </c>
      <c r="H3544" t="s">
        <v>2620</v>
      </c>
    </row>
    <row r="3545" spans="5:8" x14ac:dyDescent="0.2">
      <c r="F3545" t="str">
        <f>"27102.2"</f>
        <v>27102.2</v>
      </c>
      <c r="H3545" t="s">
        <v>2621</v>
      </c>
    </row>
    <row r="3546" spans="5:8" x14ac:dyDescent="0.2">
      <c r="G3546" t="str">
        <f>"27102.20"</f>
        <v>27102.20</v>
      </c>
      <c r="H3546" t="s">
        <v>2621</v>
      </c>
    </row>
    <row r="3547" spans="5:8" x14ac:dyDescent="0.2">
      <c r="F3547" t="str">
        <f>"27102.3"</f>
        <v>27102.3</v>
      </c>
      <c r="H3547" t="s">
        <v>2622</v>
      </c>
    </row>
    <row r="3548" spans="5:8" x14ac:dyDescent="0.2">
      <c r="G3548" t="str">
        <f>"27102.30"</f>
        <v>27102.30</v>
      </c>
      <c r="H3548" t="s">
        <v>2622</v>
      </c>
    </row>
    <row r="3549" spans="5:8" x14ac:dyDescent="0.2">
      <c r="F3549" t="str">
        <f>"27102.9"</f>
        <v>27102.9</v>
      </c>
      <c r="H3549" t="s">
        <v>2623</v>
      </c>
    </row>
    <row r="3550" spans="5:8" x14ac:dyDescent="0.2">
      <c r="G3550" t="str">
        <f>"27102.90"</f>
        <v>27102.90</v>
      </c>
      <c r="H3550" t="s">
        <v>2623</v>
      </c>
    </row>
    <row r="3551" spans="5:8" x14ac:dyDescent="0.2">
      <c r="E3551" t="str">
        <f>"27103"</f>
        <v>27103</v>
      </c>
      <c r="H3551" t="s">
        <v>2624</v>
      </c>
    </row>
    <row r="3552" spans="5:8" x14ac:dyDescent="0.2">
      <c r="F3552" t="str">
        <f>"27103.1"</f>
        <v>27103.1</v>
      </c>
      <c r="H3552" t="s">
        <v>2625</v>
      </c>
    </row>
    <row r="3553" spans="3:8" x14ac:dyDescent="0.2">
      <c r="G3553" t="str">
        <f>"27103.10"</f>
        <v>27103.10</v>
      </c>
      <c r="H3553" t="s">
        <v>2625</v>
      </c>
    </row>
    <row r="3554" spans="3:8" x14ac:dyDescent="0.2">
      <c r="F3554" t="str">
        <f>"27103.2"</f>
        <v>27103.2</v>
      </c>
      <c r="H3554" t="s">
        <v>2626</v>
      </c>
    </row>
    <row r="3555" spans="3:8" x14ac:dyDescent="0.2">
      <c r="G3555" t="str">
        <f>"27103.21"</f>
        <v>27103.21</v>
      </c>
      <c r="H3555" t="s">
        <v>2627</v>
      </c>
    </row>
    <row r="3556" spans="3:8" x14ac:dyDescent="0.2">
      <c r="G3556" t="str">
        <f>"27103.22"</f>
        <v>27103.22</v>
      </c>
      <c r="H3556" t="s">
        <v>2628</v>
      </c>
    </row>
    <row r="3557" spans="3:8" x14ac:dyDescent="0.2">
      <c r="G3557" t="str">
        <f>"27103.23"</f>
        <v>27103.23</v>
      </c>
      <c r="H3557" t="s">
        <v>2629</v>
      </c>
    </row>
    <row r="3558" spans="3:8" x14ac:dyDescent="0.2">
      <c r="G3558" t="str">
        <f>"27103.24"</f>
        <v>27103.24</v>
      </c>
      <c r="H3558" t="s">
        <v>2630</v>
      </c>
    </row>
    <row r="3559" spans="3:8" x14ac:dyDescent="0.2">
      <c r="F3559" t="str">
        <f>"27103.3"</f>
        <v>27103.3</v>
      </c>
      <c r="H3559" t="s">
        <v>2631</v>
      </c>
    </row>
    <row r="3560" spans="3:8" x14ac:dyDescent="0.2">
      <c r="G3560" t="str">
        <f>"27103.31"</f>
        <v>27103.31</v>
      </c>
      <c r="H3560" t="s">
        <v>2632</v>
      </c>
    </row>
    <row r="3561" spans="3:8" x14ac:dyDescent="0.2">
      <c r="G3561" t="str">
        <f>"27103.32"</f>
        <v>27103.32</v>
      </c>
      <c r="H3561" t="s">
        <v>2633</v>
      </c>
    </row>
    <row r="3562" spans="3:8" x14ac:dyDescent="0.2">
      <c r="F3562" t="str">
        <f>"27103.4"</f>
        <v>27103.4</v>
      </c>
      <c r="H3562" t="s">
        <v>2634</v>
      </c>
    </row>
    <row r="3563" spans="3:8" x14ac:dyDescent="0.2">
      <c r="G3563" t="str">
        <f>"27103.40"</f>
        <v>27103.40</v>
      </c>
      <c r="H3563" t="s">
        <v>2634</v>
      </c>
    </row>
    <row r="3564" spans="3:8" x14ac:dyDescent="0.2">
      <c r="F3564" t="str">
        <f>"27103.9"</f>
        <v>27103.9</v>
      </c>
      <c r="H3564" t="s">
        <v>2635</v>
      </c>
    </row>
    <row r="3565" spans="3:8" x14ac:dyDescent="0.2">
      <c r="G3565" t="str">
        <f>"27103.90"</f>
        <v>27103.90</v>
      </c>
      <c r="H3565" t="s">
        <v>2635</v>
      </c>
    </row>
    <row r="3566" spans="3:8" x14ac:dyDescent="0.2">
      <c r="C3566" t="str">
        <f>"272"</f>
        <v>272</v>
      </c>
      <c r="H3566" t="s">
        <v>2636</v>
      </c>
    </row>
    <row r="3567" spans="3:8" x14ac:dyDescent="0.2">
      <c r="D3567" t="str">
        <f>"2720"</f>
        <v>2720</v>
      </c>
      <c r="H3567" t="s">
        <v>2636</v>
      </c>
    </row>
    <row r="3568" spans="3:8" x14ac:dyDescent="0.2">
      <c r="E3568" t="str">
        <f>"27200"</f>
        <v>27200</v>
      </c>
      <c r="H3568" t="s">
        <v>2636</v>
      </c>
    </row>
    <row r="3569" spans="3:8" x14ac:dyDescent="0.2">
      <c r="F3569" t="str">
        <f>"27200.1"</f>
        <v>27200.1</v>
      </c>
      <c r="H3569" t="s">
        <v>2637</v>
      </c>
    </row>
    <row r="3570" spans="3:8" x14ac:dyDescent="0.2">
      <c r="G3570" t="str">
        <f>"27200.10"</f>
        <v>27200.10</v>
      </c>
      <c r="H3570" t="s">
        <v>2637</v>
      </c>
    </row>
    <row r="3571" spans="3:8" x14ac:dyDescent="0.2">
      <c r="F3571" t="str">
        <f>"27200.2"</f>
        <v>27200.2</v>
      </c>
      <c r="H3571" t="s">
        <v>2638</v>
      </c>
    </row>
    <row r="3572" spans="3:8" x14ac:dyDescent="0.2">
      <c r="G3572" t="str">
        <f>"27200.21"</f>
        <v>27200.21</v>
      </c>
      <c r="H3572" t="s">
        <v>2639</v>
      </c>
    </row>
    <row r="3573" spans="3:8" x14ac:dyDescent="0.2">
      <c r="G3573" t="str">
        <f>"27200.22"</f>
        <v>27200.22</v>
      </c>
      <c r="H3573" t="s">
        <v>2640</v>
      </c>
    </row>
    <row r="3574" spans="3:8" x14ac:dyDescent="0.2">
      <c r="G3574" t="str">
        <f>"27200.23"</f>
        <v>27200.23</v>
      </c>
      <c r="H3574" t="s">
        <v>2641</v>
      </c>
    </row>
    <row r="3575" spans="3:8" x14ac:dyDescent="0.2">
      <c r="F3575" t="str">
        <f>"27200.3"</f>
        <v>27200.3</v>
      </c>
      <c r="H3575" t="s">
        <v>2642</v>
      </c>
    </row>
    <row r="3576" spans="3:8" x14ac:dyDescent="0.2">
      <c r="G3576" t="str">
        <f>"27200.31"</f>
        <v>27200.31</v>
      </c>
      <c r="H3576" t="s">
        <v>2643</v>
      </c>
    </row>
    <row r="3577" spans="3:8" x14ac:dyDescent="0.2">
      <c r="G3577" t="str">
        <f>"27200.32"</f>
        <v>27200.32</v>
      </c>
      <c r="H3577" t="s">
        <v>2644</v>
      </c>
    </row>
    <row r="3578" spans="3:8" x14ac:dyDescent="0.2">
      <c r="F3578" t="str">
        <f>"27200.9"</f>
        <v>27200.9</v>
      </c>
      <c r="H3578" t="s">
        <v>2645</v>
      </c>
    </row>
    <row r="3579" spans="3:8" x14ac:dyDescent="0.2">
      <c r="G3579" t="str">
        <f>"27200.90"</f>
        <v>27200.90</v>
      </c>
      <c r="H3579" t="s">
        <v>2645</v>
      </c>
    </row>
    <row r="3580" spans="3:8" x14ac:dyDescent="0.2">
      <c r="C3580" t="str">
        <f>"273"</f>
        <v>273</v>
      </c>
      <c r="H3580" t="s">
        <v>2646</v>
      </c>
    </row>
    <row r="3581" spans="3:8" x14ac:dyDescent="0.2">
      <c r="D3581" t="str">
        <f>"2731"</f>
        <v>2731</v>
      </c>
      <c r="H3581" t="s">
        <v>2647</v>
      </c>
    </row>
    <row r="3582" spans="3:8" x14ac:dyDescent="0.2">
      <c r="E3582" t="str">
        <f>"27310"</f>
        <v>27310</v>
      </c>
      <c r="H3582" t="s">
        <v>2647</v>
      </c>
    </row>
    <row r="3583" spans="3:8" x14ac:dyDescent="0.2">
      <c r="F3583" t="str">
        <f>"27310.1"</f>
        <v>27310.1</v>
      </c>
      <c r="H3583" t="s">
        <v>2647</v>
      </c>
    </row>
    <row r="3584" spans="3:8" x14ac:dyDescent="0.2">
      <c r="G3584" t="str">
        <f>"27310.11"</f>
        <v>27310.11</v>
      </c>
      <c r="H3584" t="s">
        <v>2648</v>
      </c>
    </row>
    <row r="3585" spans="4:8" x14ac:dyDescent="0.2">
      <c r="G3585" t="str">
        <f>"27310.12"</f>
        <v>27310.12</v>
      </c>
      <c r="H3585" t="s">
        <v>2649</v>
      </c>
    </row>
    <row r="3586" spans="4:8" x14ac:dyDescent="0.2">
      <c r="F3586" t="str">
        <f>"27310.9"</f>
        <v>27310.9</v>
      </c>
      <c r="H3586" t="s">
        <v>2650</v>
      </c>
    </row>
    <row r="3587" spans="4:8" x14ac:dyDescent="0.2">
      <c r="G3587" t="str">
        <f>"27310.90"</f>
        <v>27310.90</v>
      </c>
      <c r="H3587" t="s">
        <v>2651</v>
      </c>
    </row>
    <row r="3588" spans="4:8" x14ac:dyDescent="0.2">
      <c r="D3588" t="str">
        <f>"2732"</f>
        <v>2732</v>
      </c>
      <c r="H3588" t="s">
        <v>2652</v>
      </c>
    </row>
    <row r="3589" spans="4:8" x14ac:dyDescent="0.2">
      <c r="E3589" t="str">
        <f>"27320"</f>
        <v>27320</v>
      </c>
      <c r="H3589" t="s">
        <v>2652</v>
      </c>
    </row>
    <row r="3590" spans="4:8" x14ac:dyDescent="0.2">
      <c r="F3590" t="str">
        <f>"27320.1"</f>
        <v>27320.1</v>
      </c>
      <c r="H3590" t="s">
        <v>2652</v>
      </c>
    </row>
    <row r="3591" spans="4:8" x14ac:dyDescent="0.2">
      <c r="G3591" t="str">
        <f>"27320.11"</f>
        <v>27320.11</v>
      </c>
      <c r="H3591" t="s">
        <v>2653</v>
      </c>
    </row>
    <row r="3592" spans="4:8" x14ac:dyDescent="0.2">
      <c r="G3592" t="str">
        <f>"27320.12"</f>
        <v>27320.12</v>
      </c>
      <c r="H3592" t="s">
        <v>2654</v>
      </c>
    </row>
    <row r="3593" spans="4:8" x14ac:dyDescent="0.2">
      <c r="G3593" t="str">
        <f>"27320.13"</f>
        <v>27320.13</v>
      </c>
      <c r="H3593" t="s">
        <v>2655</v>
      </c>
    </row>
    <row r="3594" spans="4:8" x14ac:dyDescent="0.2">
      <c r="G3594" t="str">
        <f>"27320.14"</f>
        <v>27320.14</v>
      </c>
      <c r="H3594" t="s">
        <v>2656</v>
      </c>
    </row>
    <row r="3595" spans="4:8" x14ac:dyDescent="0.2">
      <c r="F3595" t="str">
        <f>"27320.9"</f>
        <v>27320.9</v>
      </c>
      <c r="H3595" t="s">
        <v>2657</v>
      </c>
    </row>
    <row r="3596" spans="4:8" x14ac:dyDescent="0.2">
      <c r="G3596" t="str">
        <f>"27320.90"</f>
        <v>27320.90</v>
      </c>
      <c r="H3596" t="s">
        <v>2657</v>
      </c>
    </row>
    <row r="3597" spans="4:8" x14ac:dyDescent="0.2">
      <c r="D3597" t="str">
        <f>"2733"</f>
        <v>2733</v>
      </c>
      <c r="H3597" t="s">
        <v>2658</v>
      </c>
    </row>
    <row r="3598" spans="4:8" x14ac:dyDescent="0.2">
      <c r="E3598" t="str">
        <f>"27330"</f>
        <v>27330</v>
      </c>
      <c r="H3598" t="s">
        <v>2658</v>
      </c>
    </row>
    <row r="3599" spans="4:8" x14ac:dyDescent="0.2">
      <c r="F3599" t="str">
        <f>"27330.1"</f>
        <v>27330.1</v>
      </c>
      <c r="H3599" t="s">
        <v>2658</v>
      </c>
    </row>
    <row r="3600" spans="4:8" x14ac:dyDescent="0.2">
      <c r="G3600" t="str">
        <f>"27330.11"</f>
        <v>27330.11</v>
      </c>
      <c r="H3600" t="s">
        <v>2659</v>
      </c>
    </row>
    <row r="3601" spans="3:8" x14ac:dyDescent="0.2">
      <c r="G3601" t="str">
        <f>"27330.12"</f>
        <v>27330.12</v>
      </c>
      <c r="H3601" t="s">
        <v>2660</v>
      </c>
    </row>
    <row r="3602" spans="3:8" x14ac:dyDescent="0.2">
      <c r="G3602" t="str">
        <f>"27330.13"</f>
        <v>27330.13</v>
      </c>
      <c r="H3602" t="s">
        <v>2661</v>
      </c>
    </row>
    <row r="3603" spans="3:8" x14ac:dyDescent="0.2">
      <c r="G3603" t="str">
        <f>"27330.14"</f>
        <v>27330.14</v>
      </c>
      <c r="H3603" t="s">
        <v>2662</v>
      </c>
    </row>
    <row r="3604" spans="3:8" x14ac:dyDescent="0.2">
      <c r="F3604" t="str">
        <f>"27330.9"</f>
        <v>27330.9</v>
      </c>
      <c r="H3604" t="s">
        <v>2663</v>
      </c>
    </row>
    <row r="3605" spans="3:8" x14ac:dyDescent="0.2">
      <c r="G3605" t="str">
        <f>"27330.90"</f>
        <v>27330.90</v>
      </c>
      <c r="H3605" t="s">
        <v>2663</v>
      </c>
    </row>
    <row r="3606" spans="3:8" x14ac:dyDescent="0.2">
      <c r="C3606" t="str">
        <f>"274"</f>
        <v>274</v>
      </c>
      <c r="H3606" t="s">
        <v>2664</v>
      </c>
    </row>
    <row r="3607" spans="3:8" x14ac:dyDescent="0.2">
      <c r="D3607" t="str">
        <f>"2740"</f>
        <v>2740</v>
      </c>
      <c r="H3607" t="s">
        <v>2664</v>
      </c>
    </row>
    <row r="3608" spans="3:8" x14ac:dyDescent="0.2">
      <c r="E3608" t="str">
        <f>"27401"</f>
        <v>27401</v>
      </c>
      <c r="H3608" t="s">
        <v>2665</v>
      </c>
    </row>
    <row r="3609" spans="3:8" x14ac:dyDescent="0.2">
      <c r="F3609" t="str">
        <f>"27401.1"</f>
        <v>27401.1</v>
      </c>
      <c r="H3609" t="s">
        <v>2665</v>
      </c>
    </row>
    <row r="3610" spans="3:8" x14ac:dyDescent="0.2">
      <c r="G3610" t="str">
        <f>"27401.11"</f>
        <v>27401.11</v>
      </c>
      <c r="H3610" t="s">
        <v>2666</v>
      </c>
    </row>
    <row r="3611" spans="3:8" x14ac:dyDescent="0.2">
      <c r="G3611" t="str">
        <f>"27401.12"</f>
        <v>27401.12</v>
      </c>
      <c r="H3611" t="s">
        <v>2667</v>
      </c>
    </row>
    <row r="3612" spans="3:8" x14ac:dyDescent="0.2">
      <c r="G3612" t="str">
        <f>"27401.13"</f>
        <v>27401.13</v>
      </c>
      <c r="H3612" t="s">
        <v>2668</v>
      </c>
    </row>
    <row r="3613" spans="3:8" x14ac:dyDescent="0.2">
      <c r="G3613" t="str">
        <f>"27401.14"</f>
        <v>27401.14</v>
      </c>
      <c r="H3613" t="s">
        <v>2669</v>
      </c>
    </row>
    <row r="3614" spans="3:8" x14ac:dyDescent="0.2">
      <c r="G3614" t="str">
        <f>"27401.15"</f>
        <v>27401.15</v>
      </c>
      <c r="H3614" t="s">
        <v>2670</v>
      </c>
    </row>
    <row r="3615" spans="3:8" x14ac:dyDescent="0.2">
      <c r="F3615" t="str">
        <f>"27401.2"</f>
        <v>27401.2</v>
      </c>
      <c r="H3615" t="s">
        <v>2671</v>
      </c>
    </row>
    <row r="3616" spans="3:8" x14ac:dyDescent="0.2">
      <c r="G3616" t="str">
        <f>"27401.20"</f>
        <v>27401.20</v>
      </c>
      <c r="H3616" t="s">
        <v>2671</v>
      </c>
    </row>
    <row r="3617" spans="5:8" x14ac:dyDescent="0.2">
      <c r="F3617" t="str">
        <f>"27401.9"</f>
        <v>27401.9</v>
      </c>
      <c r="H3617" t="s">
        <v>2672</v>
      </c>
    </row>
    <row r="3618" spans="5:8" x14ac:dyDescent="0.2">
      <c r="G3618" t="str">
        <f>"27401.90"</f>
        <v>27401.90</v>
      </c>
      <c r="H3618" t="s">
        <v>2672</v>
      </c>
    </row>
    <row r="3619" spans="5:8" x14ac:dyDescent="0.2">
      <c r="E3619" t="str">
        <f>"27409"</f>
        <v>27409</v>
      </c>
      <c r="H3619" t="s">
        <v>2673</v>
      </c>
    </row>
    <row r="3620" spans="5:8" x14ac:dyDescent="0.2">
      <c r="F3620" t="str">
        <f>"27409.1"</f>
        <v>27409.1</v>
      </c>
      <c r="H3620" t="s">
        <v>2674</v>
      </c>
    </row>
    <row r="3621" spans="5:8" x14ac:dyDescent="0.2">
      <c r="G3621" t="str">
        <f>"27409.11"</f>
        <v>27409.11</v>
      </c>
      <c r="H3621" t="s">
        <v>2675</v>
      </c>
    </row>
    <row r="3622" spans="5:8" x14ac:dyDescent="0.2">
      <c r="G3622" t="str">
        <f>"27409.12"</f>
        <v>27409.12</v>
      </c>
      <c r="H3622" t="s">
        <v>2676</v>
      </c>
    </row>
    <row r="3623" spans="5:8" x14ac:dyDescent="0.2">
      <c r="G3623" t="str">
        <f>"27409.13"</f>
        <v>27409.13</v>
      </c>
      <c r="H3623" t="s">
        <v>2677</v>
      </c>
    </row>
    <row r="3624" spans="5:8" x14ac:dyDescent="0.2">
      <c r="G3624" t="str">
        <f>"27409.14"</f>
        <v>27409.14</v>
      </c>
      <c r="H3624" t="s">
        <v>2678</v>
      </c>
    </row>
    <row r="3625" spans="5:8" x14ac:dyDescent="0.2">
      <c r="F3625" t="str">
        <f>"27409.2"</f>
        <v>27409.2</v>
      </c>
      <c r="H3625" t="s">
        <v>2679</v>
      </c>
    </row>
    <row r="3626" spans="5:8" x14ac:dyDescent="0.2">
      <c r="G3626" t="str">
        <f>"27409.21"</f>
        <v>27409.21</v>
      </c>
      <c r="H3626" t="s">
        <v>2680</v>
      </c>
    </row>
    <row r="3627" spans="5:8" x14ac:dyDescent="0.2">
      <c r="G3627" t="str">
        <f>"27409.22"</f>
        <v>27409.22</v>
      </c>
      <c r="H3627" t="s">
        <v>2681</v>
      </c>
    </row>
    <row r="3628" spans="5:8" x14ac:dyDescent="0.2">
      <c r="G3628" t="str">
        <f>"27409.29"</f>
        <v>27409.29</v>
      </c>
      <c r="H3628" t="s">
        <v>2682</v>
      </c>
    </row>
    <row r="3629" spans="5:8" x14ac:dyDescent="0.2">
      <c r="F3629" t="str">
        <f>"27409.3"</f>
        <v>27409.3</v>
      </c>
      <c r="H3629" t="s">
        <v>2683</v>
      </c>
    </row>
    <row r="3630" spans="5:8" x14ac:dyDescent="0.2">
      <c r="G3630" t="str">
        <f>"27409.30"</f>
        <v>27409.30</v>
      </c>
      <c r="H3630" t="s">
        <v>2683</v>
      </c>
    </row>
    <row r="3631" spans="5:8" x14ac:dyDescent="0.2">
      <c r="F3631" t="str">
        <f>"27409.9"</f>
        <v>27409.9</v>
      </c>
      <c r="H3631" t="s">
        <v>2684</v>
      </c>
    </row>
    <row r="3632" spans="5:8" x14ac:dyDescent="0.2">
      <c r="G3632" t="str">
        <f>"27409.90"</f>
        <v>27409.90</v>
      </c>
      <c r="H3632" t="s">
        <v>2684</v>
      </c>
    </row>
    <row r="3633" spans="3:8" x14ac:dyDescent="0.2">
      <c r="C3633" t="str">
        <f>"275"</f>
        <v>275</v>
      </c>
      <c r="H3633" t="s">
        <v>2685</v>
      </c>
    </row>
    <row r="3634" spans="3:8" x14ac:dyDescent="0.2">
      <c r="D3634" t="str">
        <f>"2750"</f>
        <v>2750</v>
      </c>
      <c r="H3634" t="s">
        <v>2685</v>
      </c>
    </row>
    <row r="3635" spans="3:8" x14ac:dyDescent="0.2">
      <c r="E3635" t="str">
        <f>"27501"</f>
        <v>27501</v>
      </c>
      <c r="H3635" t="s">
        <v>2686</v>
      </c>
    </row>
    <row r="3636" spans="3:8" x14ac:dyDescent="0.2">
      <c r="F3636" t="str">
        <f>"27501.1"</f>
        <v>27501.1</v>
      </c>
      <c r="H3636" t="s">
        <v>2687</v>
      </c>
    </row>
    <row r="3637" spans="3:8" x14ac:dyDescent="0.2">
      <c r="G3637" t="str">
        <f>"27501.11"</f>
        <v>27501.11</v>
      </c>
      <c r="H3637" t="s">
        <v>2688</v>
      </c>
    </row>
    <row r="3638" spans="3:8" x14ac:dyDescent="0.2">
      <c r="G3638" t="str">
        <f>"27501.12"</f>
        <v>27501.12</v>
      </c>
      <c r="H3638" t="s">
        <v>2689</v>
      </c>
    </row>
    <row r="3639" spans="3:8" x14ac:dyDescent="0.2">
      <c r="G3639" t="str">
        <f>"27501.13"</f>
        <v>27501.13</v>
      </c>
      <c r="H3639" t="s">
        <v>2690</v>
      </c>
    </row>
    <row r="3640" spans="3:8" x14ac:dyDescent="0.2">
      <c r="G3640" t="str">
        <f>"27501.14"</f>
        <v>27501.14</v>
      </c>
      <c r="H3640" t="s">
        <v>2691</v>
      </c>
    </row>
    <row r="3641" spans="3:8" x14ac:dyDescent="0.2">
      <c r="F3641" t="str">
        <f>"27501.2"</f>
        <v>27501.2</v>
      </c>
      <c r="H3641" t="s">
        <v>2692</v>
      </c>
    </row>
    <row r="3642" spans="3:8" x14ac:dyDescent="0.2">
      <c r="G3642" t="str">
        <f>"27501.21"</f>
        <v>27501.21</v>
      </c>
      <c r="H3642" t="s">
        <v>2693</v>
      </c>
    </row>
    <row r="3643" spans="3:8" x14ac:dyDescent="0.2">
      <c r="G3643" t="str">
        <f>"27501.22"</f>
        <v>27501.22</v>
      </c>
      <c r="H3643" t="s">
        <v>2694</v>
      </c>
    </row>
    <row r="3644" spans="3:8" x14ac:dyDescent="0.2">
      <c r="F3644" t="str">
        <f>"27501.3"</f>
        <v>27501.3</v>
      </c>
      <c r="H3644" t="s">
        <v>2695</v>
      </c>
    </row>
    <row r="3645" spans="3:8" x14ac:dyDescent="0.2">
      <c r="G3645" t="str">
        <f>"27501.31"</f>
        <v>27501.31</v>
      </c>
      <c r="H3645" t="s">
        <v>2696</v>
      </c>
    </row>
    <row r="3646" spans="3:8" x14ac:dyDescent="0.2">
      <c r="G3646" t="str">
        <f>"27501.32"</f>
        <v>27501.32</v>
      </c>
      <c r="H3646" t="s">
        <v>2697</v>
      </c>
    </row>
    <row r="3647" spans="3:8" x14ac:dyDescent="0.2">
      <c r="F3647" t="str">
        <f>"27501.9"</f>
        <v>27501.9</v>
      </c>
      <c r="H3647" t="s">
        <v>2698</v>
      </c>
    </row>
    <row r="3648" spans="3:8" x14ac:dyDescent="0.2">
      <c r="G3648" t="str">
        <f>"27501.90"</f>
        <v>27501.90</v>
      </c>
      <c r="H3648" t="s">
        <v>2698</v>
      </c>
    </row>
    <row r="3649" spans="5:8" x14ac:dyDescent="0.2">
      <c r="E3649" t="str">
        <f>"27502"</f>
        <v>27502</v>
      </c>
      <c r="H3649" t="s">
        <v>2699</v>
      </c>
    </row>
    <row r="3650" spans="5:8" x14ac:dyDescent="0.2">
      <c r="F3650" t="str">
        <f>"27502.1"</f>
        <v>27502.1</v>
      </c>
      <c r="H3650" t="s">
        <v>2699</v>
      </c>
    </row>
    <row r="3651" spans="5:8" x14ac:dyDescent="0.2">
      <c r="G3651" t="str">
        <f>"27502.11"</f>
        <v>27502.11</v>
      </c>
      <c r="H3651" t="s">
        <v>2700</v>
      </c>
    </row>
    <row r="3652" spans="5:8" x14ac:dyDescent="0.2">
      <c r="G3652" t="str">
        <f>"27502.12"</f>
        <v>27502.12</v>
      </c>
      <c r="H3652" t="s">
        <v>2701</v>
      </c>
    </row>
    <row r="3653" spans="5:8" x14ac:dyDescent="0.2">
      <c r="G3653" t="str">
        <f>"27502.13"</f>
        <v>27502.13</v>
      </c>
      <c r="H3653" t="s">
        <v>2702</v>
      </c>
    </row>
    <row r="3654" spans="5:8" x14ac:dyDescent="0.2">
      <c r="G3654" t="str">
        <f>"27502.14"</f>
        <v>27502.14</v>
      </c>
      <c r="H3654" t="s">
        <v>2703</v>
      </c>
    </row>
    <row r="3655" spans="5:8" x14ac:dyDescent="0.2">
      <c r="G3655" t="str">
        <f>"27502.15"</f>
        <v>27502.15</v>
      </c>
      <c r="H3655" t="s">
        <v>2704</v>
      </c>
    </row>
    <row r="3656" spans="5:8" x14ac:dyDescent="0.2">
      <c r="G3656" t="str">
        <f>"27502.16"</f>
        <v>27502.16</v>
      </c>
      <c r="H3656" t="s">
        <v>2705</v>
      </c>
    </row>
    <row r="3657" spans="5:8" x14ac:dyDescent="0.2">
      <c r="G3657" t="str">
        <f>"27502.17"</f>
        <v>27502.17</v>
      </c>
      <c r="H3657" t="s">
        <v>2706</v>
      </c>
    </row>
    <row r="3658" spans="5:8" x14ac:dyDescent="0.2">
      <c r="G3658" t="str">
        <f>"27502.19"</f>
        <v>27502.19</v>
      </c>
      <c r="H3658" t="s">
        <v>2707</v>
      </c>
    </row>
    <row r="3659" spans="5:8" x14ac:dyDescent="0.2">
      <c r="F3659" t="str">
        <f>"27502.2"</f>
        <v>27502.2</v>
      </c>
      <c r="H3659" t="s">
        <v>2708</v>
      </c>
    </row>
    <row r="3660" spans="5:8" x14ac:dyDescent="0.2">
      <c r="G3660" t="str">
        <f>"27502.20"</f>
        <v>27502.20</v>
      </c>
      <c r="H3660" t="s">
        <v>2708</v>
      </c>
    </row>
    <row r="3661" spans="5:8" x14ac:dyDescent="0.2">
      <c r="F3661" t="str">
        <f>"27502.9"</f>
        <v>27502.9</v>
      </c>
      <c r="H3661" t="s">
        <v>2709</v>
      </c>
    </row>
    <row r="3662" spans="5:8" x14ac:dyDescent="0.2">
      <c r="G3662" t="str">
        <f>"27502.90"</f>
        <v>27502.90</v>
      </c>
      <c r="H3662" t="s">
        <v>2709</v>
      </c>
    </row>
    <row r="3663" spans="5:8" x14ac:dyDescent="0.2">
      <c r="E3663" t="str">
        <f>"27503"</f>
        <v>27503</v>
      </c>
      <c r="H3663" t="s">
        <v>2710</v>
      </c>
    </row>
    <row r="3664" spans="5:8" x14ac:dyDescent="0.2">
      <c r="F3664" t="str">
        <f>"27503.1"</f>
        <v>27503.1</v>
      </c>
      <c r="H3664" t="s">
        <v>2710</v>
      </c>
    </row>
    <row r="3665" spans="3:8" x14ac:dyDescent="0.2">
      <c r="G3665" t="str">
        <f>"27503.11"</f>
        <v>27503.11</v>
      </c>
      <c r="H3665" t="s">
        <v>2711</v>
      </c>
    </row>
    <row r="3666" spans="3:8" x14ac:dyDescent="0.2">
      <c r="G3666" t="str">
        <f>"27503.12"</f>
        <v>27503.12</v>
      </c>
      <c r="H3666" t="s">
        <v>2712</v>
      </c>
    </row>
    <row r="3667" spans="3:8" x14ac:dyDescent="0.2">
      <c r="G3667" t="str">
        <f>"27503.13"</f>
        <v>27503.13</v>
      </c>
      <c r="H3667" t="s">
        <v>2713</v>
      </c>
    </row>
    <row r="3668" spans="3:8" x14ac:dyDescent="0.2">
      <c r="G3668" t="str">
        <f>"27503.14"</f>
        <v>27503.14</v>
      </c>
      <c r="H3668" t="s">
        <v>2714</v>
      </c>
    </row>
    <row r="3669" spans="3:8" x14ac:dyDescent="0.2">
      <c r="F3669" t="str">
        <f>"27503.2"</f>
        <v>27503.2</v>
      </c>
      <c r="H3669" t="s">
        <v>2715</v>
      </c>
    </row>
    <row r="3670" spans="3:8" x14ac:dyDescent="0.2">
      <c r="G3670" t="str">
        <f>"27503.20"</f>
        <v>27503.20</v>
      </c>
      <c r="H3670" t="s">
        <v>2715</v>
      </c>
    </row>
    <row r="3671" spans="3:8" x14ac:dyDescent="0.2">
      <c r="F3671" t="str">
        <f>"27503.9"</f>
        <v>27503.9</v>
      </c>
      <c r="H3671" t="s">
        <v>2716</v>
      </c>
    </row>
    <row r="3672" spans="3:8" x14ac:dyDescent="0.2">
      <c r="G3672" t="str">
        <f>"27503.90"</f>
        <v>27503.90</v>
      </c>
      <c r="H3672" t="s">
        <v>2716</v>
      </c>
    </row>
    <row r="3673" spans="3:8" x14ac:dyDescent="0.2">
      <c r="C3673" t="str">
        <f>"279"</f>
        <v>279</v>
      </c>
      <c r="H3673" t="s">
        <v>2717</v>
      </c>
    </row>
    <row r="3674" spans="3:8" x14ac:dyDescent="0.2">
      <c r="D3674" t="str">
        <f>"2790"</f>
        <v>2790</v>
      </c>
      <c r="H3674" t="s">
        <v>2717</v>
      </c>
    </row>
    <row r="3675" spans="3:8" x14ac:dyDescent="0.2">
      <c r="E3675" t="str">
        <f>"27901"</f>
        <v>27901</v>
      </c>
      <c r="H3675" t="s">
        <v>2718</v>
      </c>
    </row>
    <row r="3676" spans="3:8" x14ac:dyDescent="0.2">
      <c r="F3676" t="str">
        <f>"27901.1"</f>
        <v>27901.1</v>
      </c>
      <c r="H3676" t="s">
        <v>2719</v>
      </c>
    </row>
    <row r="3677" spans="3:8" x14ac:dyDescent="0.2">
      <c r="G3677" t="str">
        <f>"27901.10"</f>
        <v>27901.10</v>
      </c>
      <c r="H3677" t="s">
        <v>2719</v>
      </c>
    </row>
    <row r="3678" spans="3:8" x14ac:dyDescent="0.2">
      <c r="F3678" t="str">
        <f>"27901.9"</f>
        <v>27901.9</v>
      </c>
      <c r="H3678" t="s">
        <v>2720</v>
      </c>
    </row>
    <row r="3679" spans="3:8" x14ac:dyDescent="0.2">
      <c r="G3679" t="str">
        <f>"27901.90"</f>
        <v>27901.90</v>
      </c>
      <c r="H3679" t="s">
        <v>2720</v>
      </c>
    </row>
    <row r="3680" spans="3:8" x14ac:dyDescent="0.2">
      <c r="E3680" t="str">
        <f>"27902"</f>
        <v>27902</v>
      </c>
      <c r="H3680" t="s">
        <v>2721</v>
      </c>
    </row>
    <row r="3681" spans="5:8" x14ac:dyDescent="0.2">
      <c r="F3681" t="str">
        <f>"27902.1"</f>
        <v>27902.1</v>
      </c>
      <c r="H3681" t="s">
        <v>2721</v>
      </c>
    </row>
    <row r="3682" spans="5:8" x14ac:dyDescent="0.2">
      <c r="G3682" t="str">
        <f>"27902.11"</f>
        <v>27902.11</v>
      </c>
      <c r="H3682" t="s">
        <v>2722</v>
      </c>
    </row>
    <row r="3683" spans="5:8" x14ac:dyDescent="0.2">
      <c r="G3683" t="str">
        <f>"27902.12"</f>
        <v>27902.12</v>
      </c>
      <c r="H3683" t="s">
        <v>2723</v>
      </c>
    </row>
    <row r="3684" spans="5:8" x14ac:dyDescent="0.2">
      <c r="G3684" t="str">
        <f>"27902.13"</f>
        <v>27902.13</v>
      </c>
      <c r="H3684" t="s">
        <v>2724</v>
      </c>
    </row>
    <row r="3685" spans="5:8" x14ac:dyDescent="0.2">
      <c r="F3685" t="str">
        <f>"27902.2"</f>
        <v>27902.2</v>
      </c>
      <c r="H3685" t="s">
        <v>2725</v>
      </c>
    </row>
    <row r="3686" spans="5:8" x14ac:dyDescent="0.2">
      <c r="G3686" t="str">
        <f>"27902.20"</f>
        <v>27902.20</v>
      </c>
      <c r="H3686" t="s">
        <v>2725</v>
      </c>
    </row>
    <row r="3687" spans="5:8" x14ac:dyDescent="0.2">
      <c r="F3687" t="str">
        <f>"27902.9"</f>
        <v>27902.9</v>
      </c>
      <c r="H3687" t="s">
        <v>2726</v>
      </c>
    </row>
    <row r="3688" spans="5:8" x14ac:dyDescent="0.2">
      <c r="G3688" t="str">
        <f>"27902.90"</f>
        <v>27902.90</v>
      </c>
      <c r="H3688" t="s">
        <v>2726</v>
      </c>
    </row>
    <row r="3689" spans="5:8" x14ac:dyDescent="0.2">
      <c r="E3689" t="str">
        <f>"27909"</f>
        <v>27909</v>
      </c>
      <c r="H3689" t="s">
        <v>2727</v>
      </c>
    </row>
    <row r="3690" spans="5:8" x14ac:dyDescent="0.2">
      <c r="F3690" t="str">
        <f>"27909.1"</f>
        <v>27909.1</v>
      </c>
      <c r="H3690" t="s">
        <v>2717</v>
      </c>
    </row>
    <row r="3691" spans="5:8" x14ac:dyDescent="0.2">
      <c r="G3691" t="str">
        <f>"27909.11"</f>
        <v>27909.11</v>
      </c>
      <c r="H3691" t="s">
        <v>2728</v>
      </c>
    </row>
    <row r="3692" spans="5:8" x14ac:dyDescent="0.2">
      <c r="G3692" t="str">
        <f>"27909.12"</f>
        <v>27909.12</v>
      </c>
      <c r="H3692" t="s">
        <v>2729</v>
      </c>
    </row>
    <row r="3693" spans="5:8" x14ac:dyDescent="0.2">
      <c r="G3693" t="str">
        <f>"27909.13"</f>
        <v>27909.13</v>
      </c>
      <c r="H3693" t="s">
        <v>2730</v>
      </c>
    </row>
    <row r="3694" spans="5:8" x14ac:dyDescent="0.2">
      <c r="F3694" t="str">
        <f>"27909.2"</f>
        <v>27909.2</v>
      </c>
      <c r="H3694" t="s">
        <v>2731</v>
      </c>
    </row>
    <row r="3695" spans="5:8" x14ac:dyDescent="0.2">
      <c r="G3695" t="str">
        <f>"27909.20"</f>
        <v>27909.20</v>
      </c>
      <c r="H3695" t="s">
        <v>2731</v>
      </c>
    </row>
    <row r="3696" spans="5:8" x14ac:dyDescent="0.2">
      <c r="F3696" t="str">
        <f>"27909.3"</f>
        <v>27909.3</v>
      </c>
      <c r="H3696" t="s">
        <v>2732</v>
      </c>
    </row>
    <row r="3697" spans="6:8" x14ac:dyDescent="0.2">
      <c r="G3697" t="str">
        <f>"27909.31"</f>
        <v>27909.31</v>
      </c>
      <c r="H3697" t="s">
        <v>2733</v>
      </c>
    </row>
    <row r="3698" spans="6:8" x14ac:dyDescent="0.2">
      <c r="G3698" t="str">
        <f>"27909.32"</f>
        <v>27909.32</v>
      </c>
      <c r="H3698" t="s">
        <v>2734</v>
      </c>
    </row>
    <row r="3699" spans="6:8" x14ac:dyDescent="0.2">
      <c r="G3699" t="str">
        <f>"27909.33"</f>
        <v>27909.33</v>
      </c>
      <c r="H3699" t="s">
        <v>2735</v>
      </c>
    </row>
    <row r="3700" spans="6:8" x14ac:dyDescent="0.2">
      <c r="F3700" t="str">
        <f>"27909.4"</f>
        <v>27909.4</v>
      </c>
      <c r="H3700" t="s">
        <v>2736</v>
      </c>
    </row>
    <row r="3701" spans="6:8" x14ac:dyDescent="0.2">
      <c r="G3701" t="str">
        <f>"27909.40"</f>
        <v>27909.40</v>
      </c>
      <c r="H3701" t="s">
        <v>2736</v>
      </c>
    </row>
    <row r="3702" spans="6:8" x14ac:dyDescent="0.2">
      <c r="F3702" t="str">
        <f>"27909.5"</f>
        <v>27909.5</v>
      </c>
      <c r="H3702" t="s">
        <v>2727</v>
      </c>
    </row>
    <row r="3703" spans="6:8" x14ac:dyDescent="0.2">
      <c r="G3703" t="str">
        <f>"27909.50"</f>
        <v>27909.50</v>
      </c>
      <c r="H3703" t="s">
        <v>2727</v>
      </c>
    </row>
    <row r="3704" spans="6:8" x14ac:dyDescent="0.2">
      <c r="F3704" t="str">
        <f>"27909.6"</f>
        <v>27909.6</v>
      </c>
      <c r="H3704" t="s">
        <v>2737</v>
      </c>
    </row>
    <row r="3705" spans="6:8" x14ac:dyDescent="0.2">
      <c r="G3705" t="str">
        <f>"27909.61"</f>
        <v>27909.61</v>
      </c>
      <c r="H3705" t="s">
        <v>2738</v>
      </c>
    </row>
    <row r="3706" spans="6:8" x14ac:dyDescent="0.2">
      <c r="G3706" t="str">
        <f>"27909.62"</f>
        <v>27909.62</v>
      </c>
      <c r="H3706" t="s">
        <v>2739</v>
      </c>
    </row>
    <row r="3707" spans="6:8" x14ac:dyDescent="0.2">
      <c r="G3707" t="str">
        <f>"27909.63"</f>
        <v>27909.63</v>
      </c>
      <c r="H3707" t="s">
        <v>2740</v>
      </c>
    </row>
    <row r="3708" spans="6:8" x14ac:dyDescent="0.2">
      <c r="G3708" t="str">
        <f>"27909.64"</f>
        <v>27909.64</v>
      </c>
      <c r="H3708" t="s">
        <v>2741</v>
      </c>
    </row>
    <row r="3709" spans="6:8" x14ac:dyDescent="0.2">
      <c r="G3709" t="str">
        <f>"27909.65"</f>
        <v>27909.65</v>
      </c>
      <c r="H3709" t="s">
        <v>2742</v>
      </c>
    </row>
    <row r="3710" spans="6:8" x14ac:dyDescent="0.2">
      <c r="G3710" t="str">
        <f>"27909.69"</f>
        <v>27909.69</v>
      </c>
      <c r="H3710" t="s">
        <v>2743</v>
      </c>
    </row>
    <row r="3711" spans="6:8" x14ac:dyDescent="0.2">
      <c r="F3711" t="str">
        <f>"27909.9"</f>
        <v>27909.9</v>
      </c>
      <c r="H3711" t="s">
        <v>2744</v>
      </c>
    </row>
    <row r="3712" spans="6:8" x14ac:dyDescent="0.2">
      <c r="G3712" t="str">
        <f>"27909.90"</f>
        <v>27909.90</v>
      </c>
      <c r="H3712" t="s">
        <v>2744</v>
      </c>
    </row>
    <row r="3713" spans="2:8" x14ac:dyDescent="0.2">
      <c r="B3713" t="str">
        <f>"28"</f>
        <v>28</v>
      </c>
      <c r="H3713" t="s">
        <v>2745</v>
      </c>
    </row>
    <row r="3714" spans="2:8" x14ac:dyDescent="0.2">
      <c r="C3714" t="str">
        <f>"281"</f>
        <v>281</v>
      </c>
      <c r="H3714" t="s">
        <v>2746</v>
      </c>
    </row>
    <row r="3715" spans="2:8" x14ac:dyDescent="0.2">
      <c r="D3715" t="str">
        <f>"2811"</f>
        <v>2811</v>
      </c>
      <c r="H3715" t="s">
        <v>2747</v>
      </c>
    </row>
    <row r="3716" spans="2:8" x14ac:dyDescent="0.2">
      <c r="E3716" t="str">
        <f>"28110"</f>
        <v>28110</v>
      </c>
      <c r="H3716" t="s">
        <v>2747</v>
      </c>
    </row>
    <row r="3717" spans="2:8" x14ac:dyDescent="0.2">
      <c r="F3717" t="str">
        <f>"28110.1"</f>
        <v>28110.1</v>
      </c>
      <c r="H3717" t="s">
        <v>2748</v>
      </c>
    </row>
    <row r="3718" spans="2:8" x14ac:dyDescent="0.2">
      <c r="G3718" t="str">
        <f>"28110.11"</f>
        <v>28110.11</v>
      </c>
      <c r="H3718" t="s">
        <v>2749</v>
      </c>
    </row>
    <row r="3719" spans="2:8" x14ac:dyDescent="0.2">
      <c r="G3719" t="str">
        <f>"28110.12"</f>
        <v>28110.12</v>
      </c>
      <c r="H3719" t="s">
        <v>2750</v>
      </c>
    </row>
    <row r="3720" spans="2:8" x14ac:dyDescent="0.2">
      <c r="G3720" t="str">
        <f>"28110.13"</f>
        <v>28110.13</v>
      </c>
      <c r="H3720" t="s">
        <v>2751</v>
      </c>
    </row>
    <row r="3721" spans="2:8" x14ac:dyDescent="0.2">
      <c r="F3721" t="str">
        <f>"28110.2"</f>
        <v>28110.2</v>
      </c>
      <c r="H3721" t="s">
        <v>2752</v>
      </c>
    </row>
    <row r="3722" spans="2:8" x14ac:dyDescent="0.2">
      <c r="G3722" t="str">
        <f>"28110.21"</f>
        <v>28110.21</v>
      </c>
      <c r="H3722" t="s">
        <v>2753</v>
      </c>
    </row>
    <row r="3723" spans="2:8" x14ac:dyDescent="0.2">
      <c r="G3723" t="str">
        <f>"28110.22"</f>
        <v>28110.22</v>
      </c>
      <c r="H3723" t="s">
        <v>2754</v>
      </c>
    </row>
    <row r="3724" spans="2:8" x14ac:dyDescent="0.2">
      <c r="G3724" t="str">
        <f>"28110.23"</f>
        <v>28110.23</v>
      </c>
      <c r="H3724" t="s">
        <v>2755</v>
      </c>
    </row>
    <row r="3725" spans="2:8" x14ac:dyDescent="0.2">
      <c r="G3725" t="str">
        <f>"28110.24"</f>
        <v>28110.24</v>
      </c>
      <c r="H3725" t="s">
        <v>2756</v>
      </c>
    </row>
    <row r="3726" spans="2:8" x14ac:dyDescent="0.2">
      <c r="F3726" t="str">
        <f>"28110.3"</f>
        <v>28110.3</v>
      </c>
      <c r="H3726" t="s">
        <v>2757</v>
      </c>
    </row>
    <row r="3727" spans="2:8" x14ac:dyDescent="0.2">
      <c r="G3727" t="str">
        <f>"28110.31"</f>
        <v>28110.31</v>
      </c>
      <c r="H3727" t="s">
        <v>2758</v>
      </c>
    </row>
    <row r="3728" spans="2:8" x14ac:dyDescent="0.2">
      <c r="G3728" t="str">
        <f>"28110.32"</f>
        <v>28110.32</v>
      </c>
      <c r="H3728" t="s">
        <v>2759</v>
      </c>
    </row>
    <row r="3729" spans="4:8" x14ac:dyDescent="0.2">
      <c r="G3729" t="str">
        <f>"28110.33"</f>
        <v>28110.33</v>
      </c>
      <c r="H3729" t="s">
        <v>2760</v>
      </c>
    </row>
    <row r="3730" spans="4:8" x14ac:dyDescent="0.2">
      <c r="F3730" t="str">
        <f>"28110.4"</f>
        <v>28110.4</v>
      </c>
      <c r="H3730" t="s">
        <v>2761</v>
      </c>
    </row>
    <row r="3731" spans="4:8" x14ac:dyDescent="0.2">
      <c r="G3731" t="str">
        <f>"28110.41"</f>
        <v>28110.41</v>
      </c>
      <c r="H3731" t="s">
        <v>2762</v>
      </c>
    </row>
    <row r="3732" spans="4:8" x14ac:dyDescent="0.2">
      <c r="G3732" t="str">
        <f>"28110.42"</f>
        <v>28110.42</v>
      </c>
      <c r="H3732" t="s">
        <v>2763</v>
      </c>
    </row>
    <row r="3733" spans="4:8" x14ac:dyDescent="0.2">
      <c r="F3733" t="str">
        <f>"28110.9"</f>
        <v>28110.9</v>
      </c>
      <c r="H3733" t="s">
        <v>2764</v>
      </c>
    </row>
    <row r="3734" spans="4:8" x14ac:dyDescent="0.2">
      <c r="G3734" t="str">
        <f>"28110.90"</f>
        <v>28110.90</v>
      </c>
      <c r="H3734" t="s">
        <v>2764</v>
      </c>
    </row>
    <row r="3735" spans="4:8" x14ac:dyDescent="0.2">
      <c r="D3735" t="str">
        <f>"2812"</f>
        <v>2812</v>
      </c>
      <c r="H3735" t="s">
        <v>2765</v>
      </c>
    </row>
    <row r="3736" spans="4:8" x14ac:dyDescent="0.2">
      <c r="E3736" t="str">
        <f>"28120"</f>
        <v>28120</v>
      </c>
      <c r="H3736" t="s">
        <v>2765</v>
      </c>
    </row>
    <row r="3737" spans="4:8" x14ac:dyDescent="0.2">
      <c r="F3737" t="str">
        <f>"28120.1"</f>
        <v>28120.1</v>
      </c>
      <c r="H3737" t="s">
        <v>2766</v>
      </c>
    </row>
    <row r="3738" spans="4:8" x14ac:dyDescent="0.2">
      <c r="G3738" t="str">
        <f>"28120.11"</f>
        <v>28120.11</v>
      </c>
      <c r="H3738" t="s">
        <v>2767</v>
      </c>
    </row>
    <row r="3739" spans="4:8" x14ac:dyDescent="0.2">
      <c r="G3739" t="str">
        <f>"28120.12"</f>
        <v>28120.12</v>
      </c>
      <c r="H3739" t="s">
        <v>2768</v>
      </c>
    </row>
    <row r="3740" spans="4:8" x14ac:dyDescent="0.2">
      <c r="G3740" t="str">
        <f>"28120.13"</f>
        <v>28120.13</v>
      </c>
      <c r="H3740" t="s">
        <v>2769</v>
      </c>
    </row>
    <row r="3741" spans="4:8" x14ac:dyDescent="0.2">
      <c r="G3741" t="str">
        <f>"28120.14"</f>
        <v>28120.14</v>
      </c>
      <c r="H3741" t="s">
        <v>2770</v>
      </c>
    </row>
    <row r="3742" spans="4:8" x14ac:dyDescent="0.2">
      <c r="G3742" t="str">
        <f>"28120.15"</f>
        <v>28120.15</v>
      </c>
      <c r="H3742" t="s">
        <v>2771</v>
      </c>
    </row>
    <row r="3743" spans="4:8" x14ac:dyDescent="0.2">
      <c r="G3743" t="str">
        <f>"28120.16"</f>
        <v>28120.16</v>
      </c>
      <c r="H3743" t="s">
        <v>2772</v>
      </c>
    </row>
    <row r="3744" spans="4:8" x14ac:dyDescent="0.2">
      <c r="F3744" t="str">
        <f>"28120.2"</f>
        <v>28120.2</v>
      </c>
      <c r="H3744" t="s">
        <v>2773</v>
      </c>
    </row>
    <row r="3745" spans="4:8" x14ac:dyDescent="0.2">
      <c r="G3745" t="str">
        <f>"28120.20"</f>
        <v>28120.20</v>
      </c>
      <c r="H3745" t="s">
        <v>2773</v>
      </c>
    </row>
    <row r="3746" spans="4:8" x14ac:dyDescent="0.2">
      <c r="F3746" t="str">
        <f>"28120.9"</f>
        <v>28120.9</v>
      </c>
      <c r="H3746" t="s">
        <v>2774</v>
      </c>
    </row>
    <row r="3747" spans="4:8" x14ac:dyDescent="0.2">
      <c r="G3747" t="str">
        <f>"28120.90"</f>
        <v>28120.90</v>
      </c>
      <c r="H3747" t="s">
        <v>2775</v>
      </c>
    </row>
    <row r="3748" spans="4:8" x14ac:dyDescent="0.2">
      <c r="D3748" t="str">
        <f>"2813"</f>
        <v>2813</v>
      </c>
      <c r="H3748" t="s">
        <v>2776</v>
      </c>
    </row>
    <row r="3749" spans="4:8" x14ac:dyDescent="0.2">
      <c r="E3749" t="str">
        <f>"28131"</f>
        <v>28131</v>
      </c>
      <c r="H3749" t="s">
        <v>2777</v>
      </c>
    </row>
    <row r="3750" spans="4:8" x14ac:dyDescent="0.2">
      <c r="F3750" t="str">
        <f>"28131.1"</f>
        <v>28131.1</v>
      </c>
      <c r="H3750" t="s">
        <v>2778</v>
      </c>
    </row>
    <row r="3751" spans="4:8" x14ac:dyDescent="0.2">
      <c r="G3751" t="str">
        <f>"28131.11"</f>
        <v>28131.11</v>
      </c>
      <c r="H3751" t="s">
        <v>2779</v>
      </c>
    </row>
    <row r="3752" spans="4:8" x14ac:dyDescent="0.2">
      <c r="G3752" t="str">
        <f>"28131.12"</f>
        <v>28131.12</v>
      </c>
      <c r="H3752" t="s">
        <v>2780</v>
      </c>
    </row>
    <row r="3753" spans="4:8" x14ac:dyDescent="0.2">
      <c r="G3753" t="str">
        <f>"28131.13"</f>
        <v>28131.13</v>
      </c>
      <c r="H3753" t="s">
        <v>2781</v>
      </c>
    </row>
    <row r="3754" spans="4:8" x14ac:dyDescent="0.2">
      <c r="G3754" t="str">
        <f>"28131.14"</f>
        <v>28131.14</v>
      </c>
      <c r="H3754" t="s">
        <v>2782</v>
      </c>
    </row>
    <row r="3755" spans="4:8" x14ac:dyDescent="0.2">
      <c r="F3755" t="str">
        <f>"28131.2"</f>
        <v>28131.2</v>
      </c>
      <c r="H3755" t="s">
        <v>2783</v>
      </c>
    </row>
    <row r="3756" spans="4:8" x14ac:dyDescent="0.2">
      <c r="G3756" t="str">
        <f>"28131.21"</f>
        <v>28131.21</v>
      </c>
      <c r="H3756" t="s">
        <v>2784</v>
      </c>
    </row>
    <row r="3757" spans="4:8" x14ac:dyDescent="0.2">
      <c r="G3757" t="str">
        <f>"28131.22"</f>
        <v>28131.22</v>
      </c>
      <c r="H3757" t="s">
        <v>2785</v>
      </c>
    </row>
    <row r="3758" spans="4:8" x14ac:dyDescent="0.2">
      <c r="G3758" t="str">
        <f>"28131.23"</f>
        <v>28131.23</v>
      </c>
      <c r="H3758" t="s">
        <v>2786</v>
      </c>
    </row>
    <row r="3759" spans="4:8" x14ac:dyDescent="0.2">
      <c r="G3759" t="str">
        <f>"28131.24"</f>
        <v>28131.24</v>
      </c>
      <c r="H3759" t="s">
        <v>2787</v>
      </c>
    </row>
    <row r="3760" spans="4:8" x14ac:dyDescent="0.2">
      <c r="G3760" t="str">
        <f>"28131.25"</f>
        <v>28131.25</v>
      </c>
      <c r="H3760" t="s">
        <v>2788</v>
      </c>
    </row>
    <row r="3761" spans="5:8" x14ac:dyDescent="0.2">
      <c r="G3761" t="str">
        <f>"28131.26"</f>
        <v>28131.26</v>
      </c>
      <c r="H3761" t="s">
        <v>2789</v>
      </c>
    </row>
    <row r="3762" spans="5:8" x14ac:dyDescent="0.2">
      <c r="G3762" t="str">
        <f>"28131.27"</f>
        <v>28131.27</v>
      </c>
      <c r="H3762" t="s">
        <v>2790</v>
      </c>
    </row>
    <row r="3763" spans="5:8" x14ac:dyDescent="0.2">
      <c r="G3763" t="str">
        <f>"28131.28"</f>
        <v>28131.28</v>
      </c>
      <c r="H3763" t="s">
        <v>2791</v>
      </c>
    </row>
    <row r="3764" spans="5:8" x14ac:dyDescent="0.2">
      <c r="F3764" t="str">
        <f>"28131.3"</f>
        <v>28131.3</v>
      </c>
      <c r="H3764" t="s">
        <v>2792</v>
      </c>
    </row>
    <row r="3765" spans="5:8" x14ac:dyDescent="0.2">
      <c r="G3765" t="str">
        <f>"28131.31"</f>
        <v>28131.31</v>
      </c>
      <c r="H3765" t="s">
        <v>2793</v>
      </c>
    </row>
    <row r="3766" spans="5:8" x14ac:dyDescent="0.2">
      <c r="G3766" t="str">
        <f>"28131.32"</f>
        <v>28131.32</v>
      </c>
      <c r="H3766" t="s">
        <v>2794</v>
      </c>
    </row>
    <row r="3767" spans="5:8" x14ac:dyDescent="0.2">
      <c r="F3767" t="str">
        <f>"28131.9"</f>
        <v>28131.9</v>
      </c>
      <c r="H3767" t="s">
        <v>2795</v>
      </c>
    </row>
    <row r="3768" spans="5:8" x14ac:dyDescent="0.2">
      <c r="G3768" t="str">
        <f>"28131.90"</f>
        <v>28131.90</v>
      </c>
      <c r="H3768" t="s">
        <v>2795</v>
      </c>
    </row>
    <row r="3769" spans="5:8" x14ac:dyDescent="0.2">
      <c r="E3769" t="str">
        <f>"28132"</f>
        <v>28132</v>
      </c>
      <c r="H3769" t="s">
        <v>2796</v>
      </c>
    </row>
    <row r="3770" spans="5:8" x14ac:dyDescent="0.2">
      <c r="F3770" t="str">
        <f>"28132.1"</f>
        <v>28132.1</v>
      </c>
      <c r="H3770" t="s">
        <v>2796</v>
      </c>
    </row>
    <row r="3771" spans="5:8" x14ac:dyDescent="0.2">
      <c r="G3771" t="str">
        <f>"28132.11"</f>
        <v>28132.11</v>
      </c>
      <c r="H3771" t="s">
        <v>2797</v>
      </c>
    </row>
    <row r="3772" spans="5:8" x14ac:dyDescent="0.2">
      <c r="G3772" t="str">
        <f>"28132.12"</f>
        <v>28132.12</v>
      </c>
      <c r="H3772" t="s">
        <v>2798</v>
      </c>
    </row>
    <row r="3773" spans="5:8" x14ac:dyDescent="0.2">
      <c r="G3773" t="str">
        <f>"28132.13"</f>
        <v>28132.13</v>
      </c>
      <c r="H3773" t="s">
        <v>2799</v>
      </c>
    </row>
    <row r="3774" spans="5:8" x14ac:dyDescent="0.2">
      <c r="F3774" t="str">
        <f>"28132.2"</f>
        <v>28132.2</v>
      </c>
      <c r="H3774" t="s">
        <v>2800</v>
      </c>
    </row>
    <row r="3775" spans="5:8" x14ac:dyDescent="0.2">
      <c r="G3775" t="str">
        <f>"28132.20"</f>
        <v>28132.20</v>
      </c>
      <c r="H3775" t="s">
        <v>2800</v>
      </c>
    </row>
    <row r="3776" spans="5:8" x14ac:dyDescent="0.2">
      <c r="F3776" t="str">
        <f>"28132.9"</f>
        <v>28132.9</v>
      </c>
      <c r="H3776" t="s">
        <v>2801</v>
      </c>
    </row>
    <row r="3777" spans="4:8" x14ac:dyDescent="0.2">
      <c r="G3777" t="str">
        <f>"28132.90"</f>
        <v>28132.90</v>
      </c>
      <c r="H3777" t="s">
        <v>2801</v>
      </c>
    </row>
    <row r="3778" spans="4:8" x14ac:dyDescent="0.2">
      <c r="D3778" t="str">
        <f>"2814"</f>
        <v>2814</v>
      </c>
      <c r="H3778" t="s">
        <v>2802</v>
      </c>
    </row>
    <row r="3779" spans="4:8" x14ac:dyDescent="0.2">
      <c r="E3779" t="str">
        <f>"28140"</f>
        <v>28140</v>
      </c>
      <c r="H3779" t="s">
        <v>2802</v>
      </c>
    </row>
    <row r="3780" spans="4:8" x14ac:dyDescent="0.2">
      <c r="F3780" t="str">
        <f>"28140.1"</f>
        <v>28140.1</v>
      </c>
      <c r="H3780" t="s">
        <v>2803</v>
      </c>
    </row>
    <row r="3781" spans="4:8" x14ac:dyDescent="0.2">
      <c r="G3781" t="str">
        <f>"28140.10"</f>
        <v>28140.10</v>
      </c>
      <c r="H3781" t="s">
        <v>2803</v>
      </c>
    </row>
    <row r="3782" spans="4:8" x14ac:dyDescent="0.2">
      <c r="F3782" t="str">
        <f>"28140.2"</f>
        <v>28140.2</v>
      </c>
      <c r="H3782" t="s">
        <v>2804</v>
      </c>
    </row>
    <row r="3783" spans="4:8" x14ac:dyDescent="0.2">
      <c r="G3783" t="str">
        <f>"28140.21"</f>
        <v>28140.21</v>
      </c>
      <c r="H3783" t="s">
        <v>2805</v>
      </c>
    </row>
    <row r="3784" spans="4:8" x14ac:dyDescent="0.2">
      <c r="G3784" t="str">
        <f>"28140.22"</f>
        <v>28140.22</v>
      </c>
      <c r="H3784" t="s">
        <v>2806</v>
      </c>
    </row>
    <row r="3785" spans="4:8" x14ac:dyDescent="0.2">
      <c r="G3785" t="str">
        <f>"28140.23"</f>
        <v>28140.23</v>
      </c>
      <c r="H3785" t="s">
        <v>2807</v>
      </c>
    </row>
    <row r="3786" spans="4:8" x14ac:dyDescent="0.2">
      <c r="G3786" t="str">
        <f>"28140.24"</f>
        <v>28140.24</v>
      </c>
      <c r="H3786" t="s">
        <v>2808</v>
      </c>
    </row>
    <row r="3787" spans="4:8" x14ac:dyDescent="0.2">
      <c r="G3787" t="str">
        <f>"28140.25"</f>
        <v>28140.25</v>
      </c>
      <c r="H3787" t="s">
        <v>2809</v>
      </c>
    </row>
    <row r="3788" spans="4:8" x14ac:dyDescent="0.2">
      <c r="G3788" t="str">
        <f>"28140.26"</f>
        <v>28140.26</v>
      </c>
      <c r="H3788" t="s">
        <v>2810</v>
      </c>
    </row>
    <row r="3789" spans="4:8" x14ac:dyDescent="0.2">
      <c r="F3789" t="str">
        <f>"28140.3"</f>
        <v>28140.3</v>
      </c>
      <c r="H3789" t="s">
        <v>2811</v>
      </c>
    </row>
    <row r="3790" spans="4:8" x14ac:dyDescent="0.2">
      <c r="G3790" t="str">
        <f>"28140.31"</f>
        <v>28140.31</v>
      </c>
      <c r="H3790" t="s">
        <v>2812</v>
      </c>
    </row>
    <row r="3791" spans="4:8" x14ac:dyDescent="0.2">
      <c r="G3791" t="str">
        <f>"28140.32"</f>
        <v>28140.32</v>
      </c>
      <c r="H3791" t="s">
        <v>2813</v>
      </c>
    </row>
    <row r="3792" spans="4:8" x14ac:dyDescent="0.2">
      <c r="G3792" t="str">
        <f>"28140.39"</f>
        <v>28140.39</v>
      </c>
      <c r="H3792" t="s">
        <v>2814</v>
      </c>
    </row>
    <row r="3793" spans="4:8" x14ac:dyDescent="0.2">
      <c r="F3793" t="str">
        <f>"28140.9"</f>
        <v>28140.9</v>
      </c>
      <c r="H3793" t="s">
        <v>2815</v>
      </c>
    </row>
    <row r="3794" spans="4:8" x14ac:dyDescent="0.2">
      <c r="G3794" t="str">
        <f>"28140.90"</f>
        <v>28140.90</v>
      </c>
      <c r="H3794" t="s">
        <v>2815</v>
      </c>
    </row>
    <row r="3795" spans="4:8" x14ac:dyDescent="0.2">
      <c r="D3795" t="str">
        <f>"2815"</f>
        <v>2815</v>
      </c>
      <c r="H3795" t="s">
        <v>2816</v>
      </c>
    </row>
    <row r="3796" spans="4:8" x14ac:dyDescent="0.2">
      <c r="E3796" t="str">
        <f>"28150"</f>
        <v>28150</v>
      </c>
      <c r="H3796" t="s">
        <v>2816</v>
      </c>
    </row>
    <row r="3797" spans="4:8" x14ac:dyDescent="0.2">
      <c r="F3797" t="str">
        <f>"28150.1"</f>
        <v>28150.1</v>
      </c>
      <c r="H3797" t="s">
        <v>2817</v>
      </c>
    </row>
    <row r="3798" spans="4:8" x14ac:dyDescent="0.2">
      <c r="G3798" t="str">
        <f>"28150.11"</f>
        <v>28150.11</v>
      </c>
      <c r="H3798" t="s">
        <v>2818</v>
      </c>
    </row>
    <row r="3799" spans="4:8" x14ac:dyDescent="0.2">
      <c r="G3799" t="str">
        <f>"28150.12"</f>
        <v>28150.12</v>
      </c>
      <c r="H3799" t="s">
        <v>2819</v>
      </c>
    </row>
    <row r="3800" spans="4:8" x14ac:dyDescent="0.2">
      <c r="G3800" t="str">
        <f>"28150.13"</f>
        <v>28150.13</v>
      </c>
      <c r="H3800" t="s">
        <v>2820</v>
      </c>
    </row>
    <row r="3801" spans="4:8" x14ac:dyDescent="0.2">
      <c r="F3801" t="str">
        <f>"28150.2"</f>
        <v>28150.2</v>
      </c>
      <c r="H3801" t="s">
        <v>2821</v>
      </c>
    </row>
    <row r="3802" spans="4:8" x14ac:dyDescent="0.2">
      <c r="G3802" t="str">
        <f>"28150.20"</f>
        <v>28150.20</v>
      </c>
      <c r="H3802" t="s">
        <v>2821</v>
      </c>
    </row>
    <row r="3803" spans="4:8" x14ac:dyDescent="0.2">
      <c r="F3803" t="str">
        <f>"28150.9"</f>
        <v>28150.9</v>
      </c>
      <c r="H3803" t="s">
        <v>2822</v>
      </c>
    </row>
    <row r="3804" spans="4:8" x14ac:dyDescent="0.2">
      <c r="G3804" t="str">
        <f>"28150.90"</f>
        <v>28150.90</v>
      </c>
      <c r="H3804" t="s">
        <v>2822</v>
      </c>
    </row>
    <row r="3805" spans="4:8" x14ac:dyDescent="0.2">
      <c r="D3805" t="str">
        <f>"2816"</f>
        <v>2816</v>
      </c>
      <c r="H3805" t="s">
        <v>2823</v>
      </c>
    </row>
    <row r="3806" spans="4:8" x14ac:dyDescent="0.2">
      <c r="E3806" t="str">
        <f>"28160"</f>
        <v>28160</v>
      </c>
      <c r="H3806" t="s">
        <v>2823</v>
      </c>
    </row>
    <row r="3807" spans="4:8" x14ac:dyDescent="0.2">
      <c r="F3807" t="str">
        <f>"28160.1"</f>
        <v>28160.1</v>
      </c>
      <c r="H3807" t="s">
        <v>2824</v>
      </c>
    </row>
    <row r="3808" spans="4:8" x14ac:dyDescent="0.2">
      <c r="G3808" t="str">
        <f>"28160.11"</f>
        <v>28160.11</v>
      </c>
      <c r="H3808" t="s">
        <v>2825</v>
      </c>
    </row>
    <row r="3809" spans="4:8" x14ac:dyDescent="0.2">
      <c r="G3809" t="str">
        <f>"28160.12"</f>
        <v>28160.12</v>
      </c>
      <c r="H3809" t="s">
        <v>2826</v>
      </c>
    </row>
    <row r="3810" spans="4:8" x14ac:dyDescent="0.2">
      <c r="G3810" t="str">
        <f>"28160.13"</f>
        <v>28160.13</v>
      </c>
      <c r="H3810" t="s">
        <v>2827</v>
      </c>
    </row>
    <row r="3811" spans="4:8" x14ac:dyDescent="0.2">
      <c r="G3811" t="str">
        <f>"28160.14"</f>
        <v>28160.14</v>
      </c>
      <c r="H3811" t="s">
        <v>2828</v>
      </c>
    </row>
    <row r="3812" spans="4:8" x14ac:dyDescent="0.2">
      <c r="G3812" t="str">
        <f>"28160.15"</f>
        <v>28160.15</v>
      </c>
      <c r="H3812" t="s">
        <v>2829</v>
      </c>
    </row>
    <row r="3813" spans="4:8" x14ac:dyDescent="0.2">
      <c r="G3813" t="str">
        <f>"28160.16"</f>
        <v>28160.16</v>
      </c>
      <c r="H3813" t="s">
        <v>2830</v>
      </c>
    </row>
    <row r="3814" spans="4:8" x14ac:dyDescent="0.2">
      <c r="G3814" t="str">
        <f>"28160.17"</f>
        <v>28160.17</v>
      </c>
      <c r="H3814" t="s">
        <v>2831</v>
      </c>
    </row>
    <row r="3815" spans="4:8" x14ac:dyDescent="0.2">
      <c r="G3815" t="str">
        <f>"28160.18"</f>
        <v>28160.18</v>
      </c>
      <c r="H3815" t="s">
        <v>2832</v>
      </c>
    </row>
    <row r="3816" spans="4:8" x14ac:dyDescent="0.2">
      <c r="F3816" t="str">
        <f>"28160.2"</f>
        <v>28160.2</v>
      </c>
      <c r="H3816" t="s">
        <v>2833</v>
      </c>
    </row>
    <row r="3817" spans="4:8" x14ac:dyDescent="0.2">
      <c r="G3817" t="str">
        <f>"28160.21"</f>
        <v>28160.21</v>
      </c>
      <c r="H3817" t="s">
        <v>2834</v>
      </c>
    </row>
    <row r="3818" spans="4:8" x14ac:dyDescent="0.2">
      <c r="G3818" t="str">
        <f>"28160.22"</f>
        <v>28160.22</v>
      </c>
      <c r="H3818" t="s">
        <v>2833</v>
      </c>
    </row>
    <row r="3819" spans="4:8" x14ac:dyDescent="0.2">
      <c r="F3819" t="str">
        <f>"28160.9"</f>
        <v>28160.9</v>
      </c>
      <c r="H3819" t="s">
        <v>2835</v>
      </c>
    </row>
    <row r="3820" spans="4:8" x14ac:dyDescent="0.2">
      <c r="G3820" t="str">
        <f>"28160.90"</f>
        <v>28160.90</v>
      </c>
      <c r="H3820" t="s">
        <v>2835</v>
      </c>
    </row>
    <row r="3821" spans="4:8" x14ac:dyDescent="0.2">
      <c r="D3821" t="str">
        <f>"2817"</f>
        <v>2817</v>
      </c>
      <c r="H3821" t="s">
        <v>2836</v>
      </c>
    </row>
    <row r="3822" spans="4:8" x14ac:dyDescent="0.2">
      <c r="E3822" t="str">
        <f>"28170"</f>
        <v>28170</v>
      </c>
      <c r="H3822" t="s">
        <v>2836</v>
      </c>
    </row>
    <row r="3823" spans="4:8" x14ac:dyDescent="0.2">
      <c r="F3823" t="str">
        <f>"28170.1"</f>
        <v>28170.1</v>
      </c>
      <c r="H3823" t="s">
        <v>2837</v>
      </c>
    </row>
    <row r="3824" spans="4:8" x14ac:dyDescent="0.2">
      <c r="G3824" t="str">
        <f>"28170.11"</f>
        <v>28170.11</v>
      </c>
      <c r="H3824" t="s">
        <v>2838</v>
      </c>
    </row>
    <row r="3825" spans="4:8" x14ac:dyDescent="0.2">
      <c r="G3825" t="str">
        <f>"28170.12"</f>
        <v>28170.12</v>
      </c>
      <c r="H3825" t="s">
        <v>2839</v>
      </c>
    </row>
    <row r="3826" spans="4:8" x14ac:dyDescent="0.2">
      <c r="G3826" t="str">
        <f>"28170.13"</f>
        <v>28170.13</v>
      </c>
      <c r="H3826" t="s">
        <v>2840</v>
      </c>
    </row>
    <row r="3827" spans="4:8" x14ac:dyDescent="0.2">
      <c r="F3827" t="str">
        <f>"28170.2"</f>
        <v>28170.2</v>
      </c>
      <c r="H3827" t="s">
        <v>2841</v>
      </c>
    </row>
    <row r="3828" spans="4:8" x14ac:dyDescent="0.2">
      <c r="G3828" t="str">
        <f>"28170.21"</f>
        <v>28170.21</v>
      </c>
      <c r="H3828" t="s">
        <v>2842</v>
      </c>
    </row>
    <row r="3829" spans="4:8" x14ac:dyDescent="0.2">
      <c r="G3829" t="str">
        <f>"28170.22"</f>
        <v>28170.22</v>
      </c>
      <c r="H3829" t="s">
        <v>2843</v>
      </c>
    </row>
    <row r="3830" spans="4:8" x14ac:dyDescent="0.2">
      <c r="G3830" t="str">
        <f>"28170.23"</f>
        <v>28170.23</v>
      </c>
      <c r="H3830" t="s">
        <v>2844</v>
      </c>
    </row>
    <row r="3831" spans="4:8" x14ac:dyDescent="0.2">
      <c r="G3831" t="str">
        <f>"28170.24"</f>
        <v>28170.24</v>
      </c>
      <c r="H3831" t="s">
        <v>2845</v>
      </c>
    </row>
    <row r="3832" spans="4:8" x14ac:dyDescent="0.2">
      <c r="F3832" t="str">
        <f>"28170.3"</f>
        <v>28170.3</v>
      </c>
      <c r="H3832" t="s">
        <v>2846</v>
      </c>
    </row>
    <row r="3833" spans="4:8" x14ac:dyDescent="0.2">
      <c r="G3833" t="str">
        <f>"28170.31"</f>
        <v>28170.31</v>
      </c>
      <c r="H3833" t="s">
        <v>2847</v>
      </c>
    </row>
    <row r="3834" spans="4:8" x14ac:dyDescent="0.2">
      <c r="G3834" t="str">
        <f>"28170.32"</f>
        <v>28170.32</v>
      </c>
      <c r="H3834" t="s">
        <v>2848</v>
      </c>
    </row>
    <row r="3835" spans="4:8" x14ac:dyDescent="0.2">
      <c r="G3835" t="str">
        <f>"28170.39"</f>
        <v>28170.39</v>
      </c>
      <c r="H3835" t="s">
        <v>2849</v>
      </c>
    </row>
    <row r="3836" spans="4:8" x14ac:dyDescent="0.2">
      <c r="F3836" t="str">
        <f>"28170.9"</f>
        <v>28170.9</v>
      </c>
      <c r="H3836" t="s">
        <v>2850</v>
      </c>
    </row>
    <row r="3837" spans="4:8" x14ac:dyDescent="0.2">
      <c r="G3837" t="str">
        <f>"28170.90"</f>
        <v>28170.90</v>
      </c>
      <c r="H3837" t="s">
        <v>2850</v>
      </c>
    </row>
    <row r="3838" spans="4:8" x14ac:dyDescent="0.2">
      <c r="D3838" t="str">
        <f>"2818"</f>
        <v>2818</v>
      </c>
      <c r="H3838" t="s">
        <v>2851</v>
      </c>
    </row>
    <row r="3839" spans="4:8" x14ac:dyDescent="0.2">
      <c r="E3839" t="str">
        <f>"28180"</f>
        <v>28180</v>
      </c>
      <c r="H3839" t="s">
        <v>2851</v>
      </c>
    </row>
    <row r="3840" spans="4:8" x14ac:dyDescent="0.2">
      <c r="F3840" t="str">
        <f>"28180.1"</f>
        <v>28180.1</v>
      </c>
      <c r="H3840" t="s">
        <v>2852</v>
      </c>
    </row>
    <row r="3841" spans="4:8" x14ac:dyDescent="0.2">
      <c r="G3841" t="str">
        <f>"28180.11"</f>
        <v>28180.11</v>
      </c>
      <c r="H3841" t="s">
        <v>2853</v>
      </c>
    </row>
    <row r="3842" spans="4:8" x14ac:dyDescent="0.2">
      <c r="G3842" t="str">
        <f>"28180.12"</f>
        <v>28180.12</v>
      </c>
      <c r="H3842" t="s">
        <v>2854</v>
      </c>
    </row>
    <row r="3843" spans="4:8" x14ac:dyDescent="0.2">
      <c r="F3843" t="str">
        <f>"28180.2"</f>
        <v>28180.2</v>
      </c>
      <c r="H3843" t="s">
        <v>2855</v>
      </c>
    </row>
    <row r="3844" spans="4:8" x14ac:dyDescent="0.2">
      <c r="G3844" t="str">
        <f>"28180.21"</f>
        <v>28180.21</v>
      </c>
      <c r="H3844" t="s">
        <v>2856</v>
      </c>
    </row>
    <row r="3845" spans="4:8" x14ac:dyDescent="0.2">
      <c r="G3845" t="str">
        <f>"28180.22"</f>
        <v>28180.22</v>
      </c>
      <c r="H3845" t="s">
        <v>2857</v>
      </c>
    </row>
    <row r="3846" spans="4:8" x14ac:dyDescent="0.2">
      <c r="F3846" t="str">
        <f>"28180.9"</f>
        <v>28180.9</v>
      </c>
      <c r="H3846" t="s">
        <v>2858</v>
      </c>
    </row>
    <row r="3847" spans="4:8" x14ac:dyDescent="0.2">
      <c r="G3847" t="str">
        <f>"28180.90"</f>
        <v>28180.90</v>
      </c>
      <c r="H3847" t="s">
        <v>2858</v>
      </c>
    </row>
    <row r="3848" spans="4:8" x14ac:dyDescent="0.2">
      <c r="D3848" t="str">
        <f>"2819"</f>
        <v>2819</v>
      </c>
      <c r="H3848" t="s">
        <v>2859</v>
      </c>
    </row>
    <row r="3849" spans="4:8" x14ac:dyDescent="0.2">
      <c r="E3849" t="str">
        <f>"28191"</f>
        <v>28191</v>
      </c>
      <c r="H3849" t="s">
        <v>2860</v>
      </c>
    </row>
    <row r="3850" spans="4:8" x14ac:dyDescent="0.2">
      <c r="F3850" t="str">
        <f>"28191.1"</f>
        <v>28191.1</v>
      </c>
      <c r="H3850" t="s">
        <v>2861</v>
      </c>
    </row>
    <row r="3851" spans="4:8" x14ac:dyDescent="0.2">
      <c r="G3851" t="str">
        <f>"28191.11"</f>
        <v>28191.11</v>
      </c>
      <c r="H3851" t="s">
        <v>2862</v>
      </c>
    </row>
    <row r="3852" spans="4:8" x14ac:dyDescent="0.2">
      <c r="G3852" t="str">
        <f>"28191.12"</f>
        <v>28191.12</v>
      </c>
      <c r="H3852" t="s">
        <v>2863</v>
      </c>
    </row>
    <row r="3853" spans="4:8" x14ac:dyDescent="0.2">
      <c r="G3853" t="str">
        <f>"28191.13"</f>
        <v>28191.13</v>
      </c>
      <c r="H3853" t="s">
        <v>2864</v>
      </c>
    </row>
    <row r="3854" spans="4:8" x14ac:dyDescent="0.2">
      <c r="F3854" t="str">
        <f>"28191.2"</f>
        <v>28191.2</v>
      </c>
      <c r="H3854" t="s">
        <v>2865</v>
      </c>
    </row>
    <row r="3855" spans="4:8" x14ac:dyDescent="0.2">
      <c r="G3855" t="str">
        <f>"28191.20"</f>
        <v>28191.20</v>
      </c>
      <c r="H3855" t="s">
        <v>2865</v>
      </c>
    </row>
    <row r="3856" spans="4:8" x14ac:dyDescent="0.2">
      <c r="F3856" t="str">
        <f>"28191.3"</f>
        <v>28191.3</v>
      </c>
      <c r="H3856" t="s">
        <v>2866</v>
      </c>
    </row>
    <row r="3857" spans="5:8" x14ac:dyDescent="0.2">
      <c r="G3857" t="str">
        <f>"28191.30"</f>
        <v>28191.30</v>
      </c>
      <c r="H3857" t="s">
        <v>2866</v>
      </c>
    </row>
    <row r="3858" spans="5:8" x14ac:dyDescent="0.2">
      <c r="F3858" t="str">
        <f>"28191.9"</f>
        <v>28191.9</v>
      </c>
      <c r="H3858" t="s">
        <v>2867</v>
      </c>
    </row>
    <row r="3859" spans="5:8" x14ac:dyDescent="0.2">
      <c r="G3859" t="str">
        <f>"28191.90"</f>
        <v>28191.90</v>
      </c>
      <c r="H3859" t="s">
        <v>2867</v>
      </c>
    </row>
    <row r="3860" spans="5:8" x14ac:dyDescent="0.2">
      <c r="E3860" t="str">
        <f>"28199"</f>
        <v>28199</v>
      </c>
      <c r="H3860" t="s">
        <v>2868</v>
      </c>
    </row>
    <row r="3861" spans="5:8" x14ac:dyDescent="0.2">
      <c r="F3861" t="str">
        <f>"28199.1"</f>
        <v>28199.1</v>
      </c>
      <c r="H3861" t="s">
        <v>2869</v>
      </c>
    </row>
    <row r="3862" spans="5:8" x14ac:dyDescent="0.2">
      <c r="G3862" t="str">
        <f>"28199.11"</f>
        <v>28199.11</v>
      </c>
      <c r="H3862" t="s">
        <v>2870</v>
      </c>
    </row>
    <row r="3863" spans="5:8" x14ac:dyDescent="0.2">
      <c r="G3863" t="str">
        <f>"28199.12"</f>
        <v>28199.12</v>
      </c>
      <c r="H3863" t="s">
        <v>2871</v>
      </c>
    </row>
    <row r="3864" spans="5:8" x14ac:dyDescent="0.2">
      <c r="G3864" t="str">
        <f>"28199.13"</f>
        <v>28199.13</v>
      </c>
      <c r="H3864" t="s">
        <v>2872</v>
      </c>
    </row>
    <row r="3865" spans="5:8" x14ac:dyDescent="0.2">
      <c r="F3865" t="str">
        <f>"28199.2"</f>
        <v>28199.2</v>
      </c>
      <c r="H3865" t="s">
        <v>2873</v>
      </c>
    </row>
    <row r="3866" spans="5:8" x14ac:dyDescent="0.2">
      <c r="G3866" t="str">
        <f>"28199.21"</f>
        <v>28199.21</v>
      </c>
      <c r="H3866" t="s">
        <v>2874</v>
      </c>
    </row>
    <row r="3867" spans="5:8" x14ac:dyDescent="0.2">
      <c r="G3867" t="str">
        <f>"28199.22"</f>
        <v>28199.22</v>
      </c>
      <c r="H3867" t="s">
        <v>2875</v>
      </c>
    </row>
    <row r="3868" spans="5:8" x14ac:dyDescent="0.2">
      <c r="G3868" t="str">
        <f>"28199.23"</f>
        <v>28199.23</v>
      </c>
      <c r="H3868" t="s">
        <v>2876</v>
      </c>
    </row>
    <row r="3869" spans="5:8" x14ac:dyDescent="0.2">
      <c r="F3869" t="str">
        <f>"28199.3"</f>
        <v>28199.3</v>
      </c>
      <c r="H3869" t="s">
        <v>2877</v>
      </c>
    </row>
    <row r="3870" spans="5:8" x14ac:dyDescent="0.2">
      <c r="G3870" t="str">
        <f>"28199.31"</f>
        <v>28199.31</v>
      </c>
      <c r="H3870" t="s">
        <v>2878</v>
      </c>
    </row>
    <row r="3871" spans="5:8" x14ac:dyDescent="0.2">
      <c r="G3871" t="str">
        <f>"28199.32"</f>
        <v>28199.32</v>
      </c>
      <c r="H3871" t="s">
        <v>2879</v>
      </c>
    </row>
    <row r="3872" spans="5:8" x14ac:dyDescent="0.2">
      <c r="G3872" t="str">
        <f>"28199.39"</f>
        <v>28199.39</v>
      </c>
      <c r="H3872" t="s">
        <v>2880</v>
      </c>
    </row>
    <row r="3873" spans="6:8" x14ac:dyDescent="0.2">
      <c r="F3873" t="str">
        <f>"28199.4"</f>
        <v>28199.4</v>
      </c>
      <c r="H3873" t="s">
        <v>2881</v>
      </c>
    </row>
    <row r="3874" spans="6:8" x14ac:dyDescent="0.2">
      <c r="G3874" t="str">
        <f>"28199.41"</f>
        <v>28199.41</v>
      </c>
      <c r="H3874" t="s">
        <v>2882</v>
      </c>
    </row>
    <row r="3875" spans="6:8" x14ac:dyDescent="0.2">
      <c r="G3875" t="str">
        <f>"28199.42"</f>
        <v>28199.42</v>
      </c>
      <c r="H3875" t="s">
        <v>2883</v>
      </c>
    </row>
    <row r="3876" spans="6:8" x14ac:dyDescent="0.2">
      <c r="G3876" t="str">
        <f>"28199.43"</f>
        <v>28199.43</v>
      </c>
      <c r="H3876" t="s">
        <v>2884</v>
      </c>
    </row>
    <row r="3877" spans="6:8" x14ac:dyDescent="0.2">
      <c r="F3877" t="str">
        <f>"28199.5"</f>
        <v>28199.5</v>
      </c>
      <c r="H3877" t="s">
        <v>2885</v>
      </c>
    </row>
    <row r="3878" spans="6:8" x14ac:dyDescent="0.2">
      <c r="G3878" t="str">
        <f>"28199.50"</f>
        <v>28199.50</v>
      </c>
      <c r="H3878" t="s">
        <v>2885</v>
      </c>
    </row>
    <row r="3879" spans="6:8" x14ac:dyDescent="0.2">
      <c r="F3879" t="str">
        <f>"28199.6"</f>
        <v>28199.6</v>
      </c>
      <c r="H3879" t="s">
        <v>2886</v>
      </c>
    </row>
    <row r="3880" spans="6:8" x14ac:dyDescent="0.2">
      <c r="G3880" t="str">
        <f>"28199.60"</f>
        <v>28199.60</v>
      </c>
      <c r="H3880" t="s">
        <v>2886</v>
      </c>
    </row>
    <row r="3881" spans="6:8" x14ac:dyDescent="0.2">
      <c r="F3881" t="str">
        <f>"28199.7"</f>
        <v>28199.7</v>
      </c>
      <c r="H3881" t="s">
        <v>2887</v>
      </c>
    </row>
    <row r="3882" spans="6:8" x14ac:dyDescent="0.2">
      <c r="G3882" t="str">
        <f>"28199.70"</f>
        <v>28199.70</v>
      </c>
      <c r="H3882" t="s">
        <v>2888</v>
      </c>
    </row>
    <row r="3883" spans="6:8" x14ac:dyDescent="0.2">
      <c r="F3883" t="str">
        <f>"28199.8"</f>
        <v>28199.8</v>
      </c>
      <c r="H3883" t="s">
        <v>2889</v>
      </c>
    </row>
    <row r="3884" spans="6:8" x14ac:dyDescent="0.2">
      <c r="G3884" t="str">
        <f>"28199.81"</f>
        <v>28199.81</v>
      </c>
      <c r="H3884" t="s">
        <v>2890</v>
      </c>
    </row>
    <row r="3885" spans="6:8" x14ac:dyDescent="0.2">
      <c r="G3885" t="str">
        <f>"28199.82"</f>
        <v>28199.82</v>
      </c>
      <c r="H3885" t="s">
        <v>2891</v>
      </c>
    </row>
    <row r="3886" spans="6:8" x14ac:dyDescent="0.2">
      <c r="G3886" t="str">
        <f>"28199.83"</f>
        <v>28199.83</v>
      </c>
      <c r="H3886" t="s">
        <v>2892</v>
      </c>
    </row>
    <row r="3887" spans="6:8" x14ac:dyDescent="0.2">
      <c r="G3887" t="str">
        <f>"28199.84"</f>
        <v>28199.84</v>
      </c>
      <c r="H3887" t="s">
        <v>2893</v>
      </c>
    </row>
    <row r="3888" spans="6:8" x14ac:dyDescent="0.2">
      <c r="G3888" t="str">
        <f>"28199.85"</f>
        <v>28199.85</v>
      </c>
      <c r="H3888" t="s">
        <v>2894</v>
      </c>
    </row>
    <row r="3889" spans="3:8" x14ac:dyDescent="0.2">
      <c r="G3889" t="str">
        <f>"28199.86"</f>
        <v>28199.86</v>
      </c>
      <c r="H3889" t="s">
        <v>2895</v>
      </c>
    </row>
    <row r="3890" spans="3:8" x14ac:dyDescent="0.2">
      <c r="G3890" t="str">
        <f>"28199.89"</f>
        <v>28199.89</v>
      </c>
      <c r="H3890" t="s">
        <v>2896</v>
      </c>
    </row>
    <row r="3891" spans="3:8" x14ac:dyDescent="0.2">
      <c r="F3891" t="str">
        <f>"28199.9"</f>
        <v>28199.9</v>
      </c>
      <c r="H3891" t="s">
        <v>2897</v>
      </c>
    </row>
    <row r="3892" spans="3:8" x14ac:dyDescent="0.2">
      <c r="G3892" t="str">
        <f>"28199.90"</f>
        <v>28199.90</v>
      </c>
      <c r="H3892" t="s">
        <v>2897</v>
      </c>
    </row>
    <row r="3893" spans="3:8" x14ac:dyDescent="0.2">
      <c r="C3893" t="str">
        <f>"282"</f>
        <v>282</v>
      </c>
      <c r="H3893" t="s">
        <v>2898</v>
      </c>
    </row>
    <row r="3894" spans="3:8" x14ac:dyDescent="0.2">
      <c r="D3894" t="str">
        <f>"2821"</f>
        <v>2821</v>
      </c>
      <c r="H3894" t="s">
        <v>2899</v>
      </c>
    </row>
    <row r="3895" spans="3:8" x14ac:dyDescent="0.2">
      <c r="E3895" t="str">
        <f>"28211"</f>
        <v>28211</v>
      </c>
      <c r="H3895" t="s">
        <v>2900</v>
      </c>
    </row>
    <row r="3896" spans="3:8" x14ac:dyDescent="0.2">
      <c r="F3896" t="str">
        <f>"28211.1"</f>
        <v>28211.1</v>
      </c>
      <c r="H3896" t="s">
        <v>2900</v>
      </c>
    </row>
    <row r="3897" spans="3:8" x14ac:dyDescent="0.2">
      <c r="G3897" t="str">
        <f>"28211.10"</f>
        <v>28211.10</v>
      </c>
      <c r="H3897" t="s">
        <v>2900</v>
      </c>
    </row>
    <row r="3898" spans="3:8" x14ac:dyDescent="0.2">
      <c r="F3898" t="str">
        <f>"28211.2"</f>
        <v>28211.2</v>
      </c>
      <c r="H3898" t="s">
        <v>2901</v>
      </c>
    </row>
    <row r="3899" spans="3:8" x14ac:dyDescent="0.2">
      <c r="G3899" t="str">
        <f>"28211.20"</f>
        <v>28211.20</v>
      </c>
      <c r="H3899" t="s">
        <v>2901</v>
      </c>
    </row>
    <row r="3900" spans="3:8" x14ac:dyDescent="0.2">
      <c r="F3900" t="str">
        <f>"28211.9"</f>
        <v>28211.9</v>
      </c>
      <c r="H3900" t="s">
        <v>2902</v>
      </c>
    </row>
    <row r="3901" spans="3:8" x14ac:dyDescent="0.2">
      <c r="G3901" t="str">
        <f>"28211.90"</f>
        <v>28211.90</v>
      </c>
      <c r="H3901" t="s">
        <v>2902</v>
      </c>
    </row>
    <row r="3902" spans="3:8" x14ac:dyDescent="0.2">
      <c r="E3902" t="str">
        <f>"28219"</f>
        <v>28219</v>
      </c>
      <c r="H3902" t="s">
        <v>2903</v>
      </c>
    </row>
    <row r="3903" spans="3:8" x14ac:dyDescent="0.2">
      <c r="F3903" t="str">
        <f>"28219.1"</f>
        <v>28219.1</v>
      </c>
      <c r="H3903" t="s">
        <v>2904</v>
      </c>
    </row>
    <row r="3904" spans="3:8" x14ac:dyDescent="0.2">
      <c r="G3904" t="str">
        <f>"28219.11"</f>
        <v>28219.11</v>
      </c>
      <c r="H3904" t="s">
        <v>2905</v>
      </c>
    </row>
    <row r="3905" spans="6:8" x14ac:dyDescent="0.2">
      <c r="G3905" t="str">
        <f>"28219.12"</f>
        <v>28219.12</v>
      </c>
      <c r="H3905" t="s">
        <v>2906</v>
      </c>
    </row>
    <row r="3906" spans="6:8" x14ac:dyDescent="0.2">
      <c r="G3906" t="str">
        <f>"28219.13"</f>
        <v>28219.13</v>
      </c>
      <c r="H3906" t="s">
        <v>2907</v>
      </c>
    </row>
    <row r="3907" spans="6:8" x14ac:dyDescent="0.2">
      <c r="G3907" t="str">
        <f>"28219.14"</f>
        <v>28219.14</v>
      </c>
      <c r="H3907" t="s">
        <v>2908</v>
      </c>
    </row>
    <row r="3908" spans="6:8" x14ac:dyDescent="0.2">
      <c r="G3908" t="str">
        <f>"28219.19"</f>
        <v>28219.19</v>
      </c>
      <c r="H3908" t="s">
        <v>2909</v>
      </c>
    </row>
    <row r="3909" spans="6:8" x14ac:dyDescent="0.2">
      <c r="F3909" t="str">
        <f>"28219.2"</f>
        <v>28219.2</v>
      </c>
      <c r="H3909" t="s">
        <v>2910</v>
      </c>
    </row>
    <row r="3910" spans="6:8" x14ac:dyDescent="0.2">
      <c r="G3910" t="str">
        <f>"28219.20"</f>
        <v>28219.20</v>
      </c>
      <c r="H3910" t="s">
        <v>2910</v>
      </c>
    </row>
    <row r="3911" spans="6:8" x14ac:dyDescent="0.2">
      <c r="F3911" t="str">
        <f>"28219.3"</f>
        <v>28219.3</v>
      </c>
      <c r="H3911" t="s">
        <v>2911</v>
      </c>
    </row>
    <row r="3912" spans="6:8" x14ac:dyDescent="0.2">
      <c r="G3912" t="str">
        <f>"28219.31"</f>
        <v>28219.31</v>
      </c>
      <c r="H3912" t="s">
        <v>2912</v>
      </c>
    </row>
    <row r="3913" spans="6:8" x14ac:dyDescent="0.2">
      <c r="G3913" t="str">
        <f>"28219.32"</f>
        <v>28219.32</v>
      </c>
      <c r="H3913" t="s">
        <v>2913</v>
      </c>
    </row>
    <row r="3914" spans="6:8" x14ac:dyDescent="0.2">
      <c r="G3914" t="str">
        <f>"28219.33"</f>
        <v>28219.33</v>
      </c>
      <c r="H3914" t="s">
        <v>2914</v>
      </c>
    </row>
    <row r="3915" spans="6:8" x14ac:dyDescent="0.2">
      <c r="G3915" t="str">
        <f>"28219.34"</f>
        <v>28219.34</v>
      </c>
      <c r="H3915" t="s">
        <v>2915</v>
      </c>
    </row>
    <row r="3916" spans="6:8" x14ac:dyDescent="0.2">
      <c r="G3916" t="str">
        <f>"28219.39"</f>
        <v>28219.39</v>
      </c>
      <c r="H3916" t="s">
        <v>2916</v>
      </c>
    </row>
    <row r="3917" spans="6:8" x14ac:dyDescent="0.2">
      <c r="F3917" t="str">
        <f>"28219.4"</f>
        <v>28219.4</v>
      </c>
      <c r="H3917" t="s">
        <v>2917</v>
      </c>
    </row>
    <row r="3918" spans="6:8" x14ac:dyDescent="0.2">
      <c r="G3918" t="str">
        <f>"28219.40"</f>
        <v>28219.40</v>
      </c>
      <c r="H3918" t="s">
        <v>2917</v>
      </c>
    </row>
    <row r="3919" spans="6:8" x14ac:dyDescent="0.2">
      <c r="F3919" t="str">
        <f>"28219.5"</f>
        <v>28219.5</v>
      </c>
      <c r="H3919" t="s">
        <v>2918</v>
      </c>
    </row>
    <row r="3920" spans="6:8" x14ac:dyDescent="0.2">
      <c r="G3920" t="str">
        <f>"28219.50"</f>
        <v>28219.50</v>
      </c>
      <c r="H3920" t="s">
        <v>2918</v>
      </c>
    </row>
    <row r="3921" spans="6:8" x14ac:dyDescent="0.2">
      <c r="F3921" t="str">
        <f>"28219.6"</f>
        <v>28219.6</v>
      </c>
      <c r="H3921" t="s">
        <v>2919</v>
      </c>
    </row>
    <row r="3922" spans="6:8" x14ac:dyDescent="0.2">
      <c r="G3922" t="str">
        <f>"28219.61"</f>
        <v>28219.61</v>
      </c>
      <c r="H3922" t="s">
        <v>2920</v>
      </c>
    </row>
    <row r="3923" spans="6:8" x14ac:dyDescent="0.2">
      <c r="G3923" t="str">
        <f>"28219.62"</f>
        <v>28219.62</v>
      </c>
      <c r="H3923" t="s">
        <v>2921</v>
      </c>
    </row>
    <row r="3924" spans="6:8" x14ac:dyDescent="0.2">
      <c r="G3924" t="str">
        <f>"28219.63"</f>
        <v>28219.63</v>
      </c>
      <c r="H3924" t="s">
        <v>2922</v>
      </c>
    </row>
    <row r="3925" spans="6:8" x14ac:dyDescent="0.2">
      <c r="G3925" t="str">
        <f>"28219.64"</f>
        <v>28219.64</v>
      </c>
      <c r="H3925" t="s">
        <v>2923</v>
      </c>
    </row>
    <row r="3926" spans="6:8" x14ac:dyDescent="0.2">
      <c r="G3926" t="str">
        <f>"28219.65"</f>
        <v>28219.65</v>
      </c>
      <c r="H3926" t="s">
        <v>2924</v>
      </c>
    </row>
    <row r="3927" spans="6:8" x14ac:dyDescent="0.2">
      <c r="G3927" t="str">
        <f>"28219.69"</f>
        <v>28219.69</v>
      </c>
      <c r="H3927" t="s">
        <v>2925</v>
      </c>
    </row>
    <row r="3928" spans="6:8" x14ac:dyDescent="0.2">
      <c r="F3928" t="str">
        <f>"28219.7"</f>
        <v>28219.7</v>
      </c>
      <c r="H3928" t="s">
        <v>2926</v>
      </c>
    </row>
    <row r="3929" spans="6:8" x14ac:dyDescent="0.2">
      <c r="G3929" t="str">
        <f>"28219.71"</f>
        <v>28219.71</v>
      </c>
      <c r="H3929" t="s">
        <v>2927</v>
      </c>
    </row>
    <row r="3930" spans="6:8" x14ac:dyDescent="0.2">
      <c r="G3930" t="str">
        <f>"28219.72"</f>
        <v>28219.72</v>
      </c>
      <c r="H3930" t="s">
        <v>2928</v>
      </c>
    </row>
    <row r="3931" spans="6:8" x14ac:dyDescent="0.2">
      <c r="G3931" t="str">
        <f>"28219.73"</f>
        <v>28219.73</v>
      </c>
      <c r="H3931" t="s">
        <v>2929</v>
      </c>
    </row>
    <row r="3932" spans="6:8" x14ac:dyDescent="0.2">
      <c r="G3932" t="str">
        <f>"28219.74"</f>
        <v>28219.74</v>
      </c>
      <c r="H3932" t="s">
        <v>2930</v>
      </c>
    </row>
    <row r="3933" spans="6:8" x14ac:dyDescent="0.2">
      <c r="G3933" t="str">
        <f>"28219.75"</f>
        <v>28219.75</v>
      </c>
      <c r="H3933" t="s">
        <v>2931</v>
      </c>
    </row>
    <row r="3934" spans="6:8" x14ac:dyDescent="0.2">
      <c r="G3934" t="str">
        <f>"28219.79"</f>
        <v>28219.79</v>
      </c>
      <c r="H3934" t="s">
        <v>2932</v>
      </c>
    </row>
    <row r="3935" spans="6:8" x14ac:dyDescent="0.2">
      <c r="F3935" t="str">
        <f>"28219.9"</f>
        <v>28219.9</v>
      </c>
      <c r="H3935" t="s">
        <v>2933</v>
      </c>
    </row>
    <row r="3936" spans="6:8" x14ac:dyDescent="0.2">
      <c r="G3936" t="str">
        <f>"28219.90"</f>
        <v>28219.90</v>
      </c>
      <c r="H3936" t="s">
        <v>2933</v>
      </c>
    </row>
    <row r="3937" spans="4:8" x14ac:dyDescent="0.2">
      <c r="D3937" t="str">
        <f>"2822"</f>
        <v>2822</v>
      </c>
      <c r="H3937" t="s">
        <v>2934</v>
      </c>
    </row>
    <row r="3938" spans="4:8" x14ac:dyDescent="0.2">
      <c r="E3938" t="str">
        <f>"28221"</f>
        <v>28221</v>
      </c>
      <c r="H3938" t="s">
        <v>2935</v>
      </c>
    </row>
    <row r="3939" spans="4:8" x14ac:dyDescent="0.2">
      <c r="F3939" t="str">
        <f>"28221.1"</f>
        <v>28221.1</v>
      </c>
      <c r="H3939" t="s">
        <v>2936</v>
      </c>
    </row>
    <row r="3940" spans="4:8" x14ac:dyDescent="0.2">
      <c r="G3940" t="str">
        <f>"28221.11"</f>
        <v>28221.11</v>
      </c>
      <c r="H3940" t="s">
        <v>2937</v>
      </c>
    </row>
    <row r="3941" spans="4:8" x14ac:dyDescent="0.2">
      <c r="G3941" t="str">
        <f>"28221.12"</f>
        <v>28221.12</v>
      </c>
      <c r="H3941" t="s">
        <v>2938</v>
      </c>
    </row>
    <row r="3942" spans="4:8" x14ac:dyDescent="0.2">
      <c r="F3942" t="str">
        <f>"28221.2"</f>
        <v>28221.2</v>
      </c>
      <c r="H3942" t="s">
        <v>2939</v>
      </c>
    </row>
    <row r="3943" spans="4:8" x14ac:dyDescent="0.2">
      <c r="G3943" t="str">
        <f>"28221.21"</f>
        <v>28221.21</v>
      </c>
      <c r="H3943" t="s">
        <v>2940</v>
      </c>
    </row>
    <row r="3944" spans="4:8" x14ac:dyDescent="0.2">
      <c r="G3944" t="str">
        <f>"28221.22"</f>
        <v>28221.22</v>
      </c>
      <c r="H3944" t="s">
        <v>2941</v>
      </c>
    </row>
    <row r="3945" spans="4:8" x14ac:dyDescent="0.2">
      <c r="G3945" t="str">
        <f>"28221.23"</f>
        <v>28221.23</v>
      </c>
      <c r="H3945" t="s">
        <v>2942</v>
      </c>
    </row>
    <row r="3946" spans="4:8" x14ac:dyDescent="0.2">
      <c r="G3946" t="str">
        <f>"28221.24"</f>
        <v>28221.24</v>
      </c>
      <c r="H3946" t="s">
        <v>2943</v>
      </c>
    </row>
    <row r="3947" spans="4:8" x14ac:dyDescent="0.2">
      <c r="F3947" t="str">
        <f>"28221.3"</f>
        <v>28221.3</v>
      </c>
      <c r="H3947" t="s">
        <v>2944</v>
      </c>
    </row>
    <row r="3948" spans="4:8" x14ac:dyDescent="0.2">
      <c r="G3948" t="str">
        <f>"28221.31"</f>
        <v>28221.31</v>
      </c>
      <c r="H3948" t="s">
        <v>2945</v>
      </c>
    </row>
    <row r="3949" spans="4:8" x14ac:dyDescent="0.2">
      <c r="G3949" t="str">
        <f>"28221.32"</f>
        <v>28221.32</v>
      </c>
      <c r="H3949" t="s">
        <v>2946</v>
      </c>
    </row>
    <row r="3950" spans="4:8" x14ac:dyDescent="0.2">
      <c r="G3950" t="str">
        <f>"28221.33"</f>
        <v>28221.33</v>
      </c>
      <c r="H3950" t="s">
        <v>2947</v>
      </c>
    </row>
    <row r="3951" spans="4:8" x14ac:dyDescent="0.2">
      <c r="G3951" t="str">
        <f>"28221.39"</f>
        <v>28221.39</v>
      </c>
      <c r="H3951" t="s">
        <v>2948</v>
      </c>
    </row>
    <row r="3952" spans="4:8" x14ac:dyDescent="0.2">
      <c r="F3952" t="str">
        <f>"28221.4"</f>
        <v>28221.4</v>
      </c>
      <c r="H3952" t="s">
        <v>2949</v>
      </c>
    </row>
    <row r="3953" spans="4:8" x14ac:dyDescent="0.2">
      <c r="G3953" t="str">
        <f>"28221.40"</f>
        <v>28221.40</v>
      </c>
      <c r="H3953" t="s">
        <v>2949</v>
      </c>
    </row>
    <row r="3954" spans="4:8" x14ac:dyDescent="0.2">
      <c r="F3954" t="str">
        <f>"28221.9"</f>
        <v>28221.9</v>
      </c>
      <c r="H3954" t="s">
        <v>2950</v>
      </c>
    </row>
    <row r="3955" spans="4:8" x14ac:dyDescent="0.2">
      <c r="G3955" t="str">
        <f>"28221.90"</f>
        <v>28221.90</v>
      </c>
      <c r="H3955" t="s">
        <v>2950</v>
      </c>
    </row>
    <row r="3956" spans="4:8" x14ac:dyDescent="0.2">
      <c r="E3956" t="str">
        <f>"28229"</f>
        <v>28229</v>
      </c>
      <c r="H3956" t="s">
        <v>2951</v>
      </c>
    </row>
    <row r="3957" spans="4:8" x14ac:dyDescent="0.2">
      <c r="F3957" t="str">
        <f>"28229.1"</f>
        <v>28229.1</v>
      </c>
      <c r="H3957" t="s">
        <v>2952</v>
      </c>
    </row>
    <row r="3958" spans="4:8" x14ac:dyDescent="0.2">
      <c r="G3958" t="str">
        <f>"28229.11"</f>
        <v>28229.11</v>
      </c>
      <c r="H3958" t="s">
        <v>2953</v>
      </c>
    </row>
    <row r="3959" spans="4:8" x14ac:dyDescent="0.2">
      <c r="G3959" t="str">
        <f>"28229.12"</f>
        <v>28229.12</v>
      </c>
      <c r="H3959" t="s">
        <v>2954</v>
      </c>
    </row>
    <row r="3960" spans="4:8" x14ac:dyDescent="0.2">
      <c r="F3960" t="str">
        <f>"28229.2"</f>
        <v>28229.2</v>
      </c>
      <c r="H3960" t="s">
        <v>2955</v>
      </c>
    </row>
    <row r="3961" spans="4:8" x14ac:dyDescent="0.2">
      <c r="G3961" t="str">
        <f>"28229.20"</f>
        <v>28229.20</v>
      </c>
      <c r="H3961" t="s">
        <v>2956</v>
      </c>
    </row>
    <row r="3962" spans="4:8" x14ac:dyDescent="0.2">
      <c r="F3962" t="str">
        <f>"28229.9"</f>
        <v>28229.9</v>
      </c>
      <c r="H3962" t="s">
        <v>2957</v>
      </c>
    </row>
    <row r="3963" spans="4:8" x14ac:dyDescent="0.2">
      <c r="G3963" t="str">
        <f>"28229.90"</f>
        <v>28229.90</v>
      </c>
      <c r="H3963" t="s">
        <v>2957</v>
      </c>
    </row>
    <row r="3964" spans="4:8" x14ac:dyDescent="0.2">
      <c r="D3964" t="str">
        <f>"2823"</f>
        <v>2823</v>
      </c>
      <c r="H3964" t="s">
        <v>2958</v>
      </c>
    </row>
    <row r="3965" spans="4:8" x14ac:dyDescent="0.2">
      <c r="E3965" t="str">
        <f>"28230"</f>
        <v>28230</v>
      </c>
      <c r="H3965" t="s">
        <v>2958</v>
      </c>
    </row>
    <row r="3966" spans="4:8" x14ac:dyDescent="0.2">
      <c r="F3966" t="str">
        <f>"28230.1"</f>
        <v>28230.1</v>
      </c>
      <c r="H3966" t="s">
        <v>2959</v>
      </c>
    </row>
    <row r="3967" spans="4:8" x14ac:dyDescent="0.2">
      <c r="G3967" t="str">
        <f>"28230.10"</f>
        <v>28230.10</v>
      </c>
      <c r="H3967" t="s">
        <v>2959</v>
      </c>
    </row>
    <row r="3968" spans="4:8" x14ac:dyDescent="0.2">
      <c r="F3968" t="str">
        <f>"28230.2"</f>
        <v>28230.2</v>
      </c>
      <c r="H3968" t="s">
        <v>2960</v>
      </c>
    </row>
    <row r="3969" spans="4:8" x14ac:dyDescent="0.2">
      <c r="G3969" t="str">
        <f>"28230.20"</f>
        <v>28230.20</v>
      </c>
      <c r="H3969" t="s">
        <v>2960</v>
      </c>
    </row>
    <row r="3970" spans="4:8" x14ac:dyDescent="0.2">
      <c r="F3970" t="str">
        <f>"28230.9"</f>
        <v>28230.9</v>
      </c>
      <c r="H3970" t="s">
        <v>2961</v>
      </c>
    </row>
    <row r="3971" spans="4:8" x14ac:dyDescent="0.2">
      <c r="G3971" t="str">
        <f>"28230.90"</f>
        <v>28230.90</v>
      </c>
      <c r="H3971" t="s">
        <v>2961</v>
      </c>
    </row>
    <row r="3972" spans="4:8" x14ac:dyDescent="0.2">
      <c r="D3972" t="str">
        <f>"2824"</f>
        <v>2824</v>
      </c>
      <c r="H3972" t="s">
        <v>2962</v>
      </c>
    </row>
    <row r="3973" spans="4:8" x14ac:dyDescent="0.2">
      <c r="E3973" t="str">
        <f>"28240"</f>
        <v>28240</v>
      </c>
      <c r="H3973" t="s">
        <v>2962</v>
      </c>
    </row>
    <row r="3974" spans="4:8" x14ac:dyDescent="0.2">
      <c r="F3974" t="str">
        <f>"28240.1"</f>
        <v>28240.1</v>
      </c>
      <c r="H3974" t="s">
        <v>2963</v>
      </c>
    </row>
    <row r="3975" spans="4:8" x14ac:dyDescent="0.2">
      <c r="G3975" t="str">
        <f>"28240.11"</f>
        <v>28240.11</v>
      </c>
      <c r="H3975" t="s">
        <v>2964</v>
      </c>
    </row>
    <row r="3976" spans="4:8" x14ac:dyDescent="0.2">
      <c r="G3976" t="str">
        <f>"28240.12"</f>
        <v>28240.12</v>
      </c>
      <c r="H3976" t="s">
        <v>2965</v>
      </c>
    </row>
    <row r="3977" spans="4:8" x14ac:dyDescent="0.2">
      <c r="F3977" t="str">
        <f>"28240.2"</f>
        <v>28240.2</v>
      </c>
      <c r="H3977" t="s">
        <v>2966</v>
      </c>
    </row>
    <row r="3978" spans="4:8" x14ac:dyDescent="0.2">
      <c r="G3978" t="str">
        <f>"28240.21"</f>
        <v>28240.21</v>
      </c>
      <c r="H3978" t="s">
        <v>2967</v>
      </c>
    </row>
    <row r="3979" spans="4:8" x14ac:dyDescent="0.2">
      <c r="G3979" t="str">
        <f>"28240.22"</f>
        <v>28240.22</v>
      </c>
      <c r="H3979" t="s">
        <v>2968</v>
      </c>
    </row>
    <row r="3980" spans="4:8" x14ac:dyDescent="0.2">
      <c r="G3980" t="str">
        <f>"28240.23"</f>
        <v>28240.23</v>
      </c>
      <c r="H3980" t="s">
        <v>2969</v>
      </c>
    </row>
    <row r="3981" spans="4:8" x14ac:dyDescent="0.2">
      <c r="G3981" t="str">
        <f>"28240.24"</f>
        <v>28240.24</v>
      </c>
      <c r="H3981" t="s">
        <v>2970</v>
      </c>
    </row>
    <row r="3982" spans="4:8" x14ac:dyDescent="0.2">
      <c r="G3982" t="str">
        <f>"28240.25"</f>
        <v>28240.25</v>
      </c>
      <c r="H3982" t="s">
        <v>2971</v>
      </c>
    </row>
    <row r="3983" spans="4:8" x14ac:dyDescent="0.2">
      <c r="G3983" t="str">
        <f>"28240.26"</f>
        <v>28240.26</v>
      </c>
      <c r="H3983" t="s">
        <v>2972</v>
      </c>
    </row>
    <row r="3984" spans="4:8" x14ac:dyDescent="0.2">
      <c r="G3984" t="str">
        <f>"28240.27"</f>
        <v>28240.27</v>
      </c>
      <c r="H3984" t="s">
        <v>2973</v>
      </c>
    </row>
    <row r="3985" spans="4:8" x14ac:dyDescent="0.2">
      <c r="G3985" t="str">
        <f>"28240.28"</f>
        <v>28240.28</v>
      </c>
      <c r="H3985" t="s">
        <v>2974</v>
      </c>
    </row>
    <row r="3986" spans="4:8" x14ac:dyDescent="0.2">
      <c r="G3986" t="str">
        <f>"28240.29"</f>
        <v>28240.29</v>
      </c>
      <c r="H3986" t="s">
        <v>2975</v>
      </c>
    </row>
    <row r="3987" spans="4:8" x14ac:dyDescent="0.2">
      <c r="F3987" t="str">
        <f>"28240.3"</f>
        <v>28240.3</v>
      </c>
      <c r="H3987" t="s">
        <v>2976</v>
      </c>
    </row>
    <row r="3988" spans="4:8" x14ac:dyDescent="0.2">
      <c r="G3988" t="str">
        <f>"28240.30"</f>
        <v>28240.30</v>
      </c>
      <c r="H3988" t="s">
        <v>2976</v>
      </c>
    </row>
    <row r="3989" spans="4:8" x14ac:dyDescent="0.2">
      <c r="F3989" t="str">
        <f>"28240.4"</f>
        <v>28240.4</v>
      </c>
      <c r="H3989" t="s">
        <v>2977</v>
      </c>
    </row>
    <row r="3990" spans="4:8" x14ac:dyDescent="0.2">
      <c r="G3990" t="str">
        <f>"28240.40"</f>
        <v>28240.40</v>
      </c>
      <c r="H3990" t="s">
        <v>2977</v>
      </c>
    </row>
    <row r="3991" spans="4:8" x14ac:dyDescent="0.2">
      <c r="F3991" t="str">
        <f>"28240.5"</f>
        <v>28240.5</v>
      </c>
      <c r="H3991" t="s">
        <v>2978</v>
      </c>
    </row>
    <row r="3992" spans="4:8" x14ac:dyDescent="0.2">
      <c r="G3992" t="str">
        <f>"28240.50"</f>
        <v>28240.50</v>
      </c>
      <c r="H3992" t="s">
        <v>2978</v>
      </c>
    </row>
    <row r="3993" spans="4:8" x14ac:dyDescent="0.2">
      <c r="F3993" t="str">
        <f>"28240.6"</f>
        <v>28240.6</v>
      </c>
      <c r="H3993" t="s">
        <v>2979</v>
      </c>
    </row>
    <row r="3994" spans="4:8" x14ac:dyDescent="0.2">
      <c r="G3994" t="str">
        <f>"28240.61"</f>
        <v>28240.61</v>
      </c>
      <c r="H3994" t="s">
        <v>2980</v>
      </c>
    </row>
    <row r="3995" spans="4:8" x14ac:dyDescent="0.2">
      <c r="G3995" t="str">
        <f>"28240.62"</f>
        <v>28240.62</v>
      </c>
      <c r="H3995" t="s">
        <v>2981</v>
      </c>
    </row>
    <row r="3996" spans="4:8" x14ac:dyDescent="0.2">
      <c r="F3996" t="str">
        <f>"28240.9"</f>
        <v>28240.9</v>
      </c>
      <c r="H3996" t="s">
        <v>2982</v>
      </c>
    </row>
    <row r="3997" spans="4:8" x14ac:dyDescent="0.2">
      <c r="G3997" t="str">
        <f>"28240.90"</f>
        <v>28240.90</v>
      </c>
      <c r="H3997" t="s">
        <v>2982</v>
      </c>
    </row>
    <row r="3998" spans="4:8" x14ac:dyDescent="0.2">
      <c r="D3998" t="str">
        <f>"2825"</f>
        <v>2825</v>
      </c>
      <c r="H3998" t="s">
        <v>2983</v>
      </c>
    </row>
    <row r="3999" spans="4:8" x14ac:dyDescent="0.2">
      <c r="E3999" t="str">
        <f>"28250"</f>
        <v>28250</v>
      </c>
      <c r="H3999" t="s">
        <v>2983</v>
      </c>
    </row>
    <row r="4000" spans="4:8" x14ac:dyDescent="0.2">
      <c r="F4000" t="str">
        <f>"28250.1"</f>
        <v>28250.1</v>
      </c>
      <c r="H4000" t="s">
        <v>2983</v>
      </c>
    </row>
    <row r="4001" spans="6:8" x14ac:dyDescent="0.2">
      <c r="G4001" t="str">
        <f>"28250.11"</f>
        <v>28250.11</v>
      </c>
      <c r="H4001" t="s">
        <v>2984</v>
      </c>
    </row>
    <row r="4002" spans="6:8" x14ac:dyDescent="0.2">
      <c r="G4002" t="str">
        <f>"28250.12"</f>
        <v>28250.12</v>
      </c>
      <c r="H4002" t="s">
        <v>2985</v>
      </c>
    </row>
    <row r="4003" spans="6:8" x14ac:dyDescent="0.2">
      <c r="G4003" t="str">
        <f>"28250.13"</f>
        <v>28250.13</v>
      </c>
      <c r="H4003" t="s">
        <v>2986</v>
      </c>
    </row>
    <row r="4004" spans="6:8" x14ac:dyDescent="0.2">
      <c r="G4004" t="str">
        <f>"28250.14"</f>
        <v>28250.14</v>
      </c>
      <c r="H4004" t="s">
        <v>2987</v>
      </c>
    </row>
    <row r="4005" spans="6:8" x14ac:dyDescent="0.2">
      <c r="G4005" t="str">
        <f>"28250.15"</f>
        <v>28250.15</v>
      </c>
      <c r="H4005" t="s">
        <v>2988</v>
      </c>
    </row>
    <row r="4006" spans="6:8" x14ac:dyDescent="0.2">
      <c r="G4006" t="str">
        <f>"28250.16"</f>
        <v>28250.16</v>
      </c>
      <c r="H4006" t="s">
        <v>2989</v>
      </c>
    </row>
    <row r="4007" spans="6:8" x14ac:dyDescent="0.2">
      <c r="G4007" t="str">
        <f>"28250.17"</f>
        <v>28250.17</v>
      </c>
      <c r="H4007" t="s">
        <v>2990</v>
      </c>
    </row>
    <row r="4008" spans="6:8" x14ac:dyDescent="0.2">
      <c r="G4008" t="str">
        <f>"28250.18"</f>
        <v>28250.18</v>
      </c>
      <c r="H4008" t="s">
        <v>2991</v>
      </c>
    </row>
    <row r="4009" spans="6:8" x14ac:dyDescent="0.2">
      <c r="F4009" t="str">
        <f>"28250.2"</f>
        <v>28250.2</v>
      </c>
      <c r="H4009" t="s">
        <v>2992</v>
      </c>
    </row>
    <row r="4010" spans="6:8" x14ac:dyDescent="0.2">
      <c r="G4010" t="str">
        <f>"28250.20"</f>
        <v>28250.20</v>
      </c>
      <c r="H4010" t="s">
        <v>2992</v>
      </c>
    </row>
    <row r="4011" spans="6:8" x14ac:dyDescent="0.2">
      <c r="F4011" t="str">
        <f>"28250.3"</f>
        <v>28250.3</v>
      </c>
      <c r="H4011" t="s">
        <v>2993</v>
      </c>
    </row>
    <row r="4012" spans="6:8" x14ac:dyDescent="0.2">
      <c r="G4012" t="str">
        <f>"28250.31"</f>
        <v>28250.31</v>
      </c>
      <c r="H4012" t="s">
        <v>2994</v>
      </c>
    </row>
    <row r="4013" spans="6:8" x14ac:dyDescent="0.2">
      <c r="G4013" t="str">
        <f>"28250.32"</f>
        <v>28250.32</v>
      </c>
      <c r="H4013" t="s">
        <v>2995</v>
      </c>
    </row>
    <row r="4014" spans="6:8" x14ac:dyDescent="0.2">
      <c r="G4014" t="str">
        <f>"28250.33"</f>
        <v>28250.33</v>
      </c>
      <c r="H4014" t="s">
        <v>2996</v>
      </c>
    </row>
    <row r="4015" spans="6:8" x14ac:dyDescent="0.2">
      <c r="G4015" t="str">
        <f>"28250.34"</f>
        <v>28250.34</v>
      </c>
      <c r="H4015" t="s">
        <v>2997</v>
      </c>
    </row>
    <row r="4016" spans="6:8" x14ac:dyDescent="0.2">
      <c r="F4016" t="str">
        <f>"28250.9"</f>
        <v>28250.9</v>
      </c>
      <c r="H4016" t="s">
        <v>2998</v>
      </c>
    </row>
    <row r="4017" spans="4:8" x14ac:dyDescent="0.2">
      <c r="G4017" t="str">
        <f>"28250.90"</f>
        <v>28250.90</v>
      </c>
      <c r="H4017" t="s">
        <v>2998</v>
      </c>
    </row>
    <row r="4018" spans="4:8" x14ac:dyDescent="0.2">
      <c r="D4018" t="str">
        <f>"2826"</f>
        <v>2826</v>
      </c>
      <c r="H4018" t="s">
        <v>2999</v>
      </c>
    </row>
    <row r="4019" spans="4:8" x14ac:dyDescent="0.2">
      <c r="E4019" t="str">
        <f>"28261"</f>
        <v>28261</v>
      </c>
      <c r="H4019" t="s">
        <v>3000</v>
      </c>
    </row>
    <row r="4020" spans="4:8" x14ac:dyDescent="0.2">
      <c r="F4020" t="str">
        <f>"28261.1"</f>
        <v>28261.1</v>
      </c>
      <c r="H4020" t="s">
        <v>3000</v>
      </c>
    </row>
    <row r="4021" spans="4:8" x14ac:dyDescent="0.2">
      <c r="G4021" t="str">
        <f>"28261.11"</f>
        <v>28261.11</v>
      </c>
      <c r="H4021" t="s">
        <v>3001</v>
      </c>
    </row>
    <row r="4022" spans="4:8" x14ac:dyDescent="0.2">
      <c r="G4022" t="str">
        <f>"28261.12"</f>
        <v>28261.12</v>
      </c>
      <c r="H4022" t="s">
        <v>3002</v>
      </c>
    </row>
    <row r="4023" spans="4:8" x14ac:dyDescent="0.2">
      <c r="G4023" t="str">
        <f>"28261.13"</f>
        <v>28261.13</v>
      </c>
      <c r="H4023" t="s">
        <v>3003</v>
      </c>
    </row>
    <row r="4024" spans="4:8" x14ac:dyDescent="0.2">
      <c r="G4024" t="str">
        <f>"28261.14"</f>
        <v>28261.14</v>
      </c>
      <c r="H4024" t="s">
        <v>3004</v>
      </c>
    </row>
    <row r="4025" spans="4:8" x14ac:dyDescent="0.2">
      <c r="G4025" t="str">
        <f>"28261.15"</f>
        <v>28261.15</v>
      </c>
      <c r="H4025" t="s">
        <v>3005</v>
      </c>
    </row>
    <row r="4026" spans="4:8" x14ac:dyDescent="0.2">
      <c r="F4026" t="str">
        <f>"28261.2"</f>
        <v>28261.2</v>
      </c>
      <c r="H4026" t="s">
        <v>3006</v>
      </c>
    </row>
    <row r="4027" spans="4:8" x14ac:dyDescent="0.2">
      <c r="G4027" t="str">
        <f>"28261.20"</f>
        <v>28261.20</v>
      </c>
      <c r="H4027" t="s">
        <v>3006</v>
      </c>
    </row>
    <row r="4028" spans="4:8" x14ac:dyDescent="0.2">
      <c r="F4028" t="str">
        <f>"28261.9"</f>
        <v>28261.9</v>
      </c>
      <c r="H4028" t="s">
        <v>3007</v>
      </c>
    </row>
    <row r="4029" spans="4:8" x14ac:dyDescent="0.2">
      <c r="G4029" t="str">
        <f>"28261.90"</f>
        <v>28261.90</v>
      </c>
      <c r="H4029" t="s">
        <v>3007</v>
      </c>
    </row>
    <row r="4030" spans="4:8" x14ac:dyDescent="0.2">
      <c r="E4030" t="str">
        <f>"28269"</f>
        <v>28269</v>
      </c>
      <c r="H4030" t="s">
        <v>3008</v>
      </c>
    </row>
    <row r="4031" spans="4:8" x14ac:dyDescent="0.2">
      <c r="F4031" t="str">
        <f>"28269.1"</f>
        <v>28269.1</v>
      </c>
      <c r="H4031" t="s">
        <v>3009</v>
      </c>
    </row>
    <row r="4032" spans="4:8" x14ac:dyDescent="0.2">
      <c r="G4032" t="str">
        <f>"28269.11"</f>
        <v>28269.11</v>
      </c>
      <c r="H4032" t="s">
        <v>3010</v>
      </c>
    </row>
    <row r="4033" spans="4:8" x14ac:dyDescent="0.2">
      <c r="G4033" t="str">
        <f>"28269.12"</f>
        <v>28269.12</v>
      </c>
      <c r="H4033" t="s">
        <v>3011</v>
      </c>
    </row>
    <row r="4034" spans="4:8" x14ac:dyDescent="0.2">
      <c r="G4034" t="str">
        <f>"28269.13"</f>
        <v>28269.13</v>
      </c>
      <c r="H4034" t="s">
        <v>3012</v>
      </c>
    </row>
    <row r="4035" spans="4:8" x14ac:dyDescent="0.2">
      <c r="G4035" t="str">
        <f>"28269.14"</f>
        <v>28269.14</v>
      </c>
      <c r="H4035" t="s">
        <v>3013</v>
      </c>
    </row>
    <row r="4036" spans="4:8" x14ac:dyDescent="0.2">
      <c r="F4036" t="str">
        <f>"28269.2"</f>
        <v>28269.2</v>
      </c>
      <c r="H4036" t="s">
        <v>3014</v>
      </c>
    </row>
    <row r="4037" spans="4:8" x14ac:dyDescent="0.2">
      <c r="G4037" t="str">
        <f>"28269.20"</f>
        <v>28269.20</v>
      </c>
      <c r="H4037" t="s">
        <v>3014</v>
      </c>
    </row>
    <row r="4038" spans="4:8" x14ac:dyDescent="0.2">
      <c r="F4038" t="str">
        <f>"28269.3"</f>
        <v>28269.3</v>
      </c>
      <c r="H4038" t="s">
        <v>3015</v>
      </c>
    </row>
    <row r="4039" spans="4:8" x14ac:dyDescent="0.2">
      <c r="G4039" t="str">
        <f>"28269.30"</f>
        <v>28269.30</v>
      </c>
      <c r="H4039" t="s">
        <v>3015</v>
      </c>
    </row>
    <row r="4040" spans="4:8" x14ac:dyDescent="0.2">
      <c r="F4040" t="str">
        <f>"28269.4"</f>
        <v>28269.4</v>
      </c>
      <c r="H4040" t="s">
        <v>3016</v>
      </c>
    </row>
    <row r="4041" spans="4:8" x14ac:dyDescent="0.2">
      <c r="G4041" t="str">
        <f>"28269.41"</f>
        <v>28269.41</v>
      </c>
      <c r="H4041" t="s">
        <v>3017</v>
      </c>
    </row>
    <row r="4042" spans="4:8" x14ac:dyDescent="0.2">
      <c r="G4042" t="str">
        <f>"28269.42"</f>
        <v>28269.42</v>
      </c>
      <c r="H4042" t="s">
        <v>3018</v>
      </c>
    </row>
    <row r="4043" spans="4:8" x14ac:dyDescent="0.2">
      <c r="G4043" t="str">
        <f>"28269.43"</f>
        <v>28269.43</v>
      </c>
      <c r="H4043" t="s">
        <v>3019</v>
      </c>
    </row>
    <row r="4044" spans="4:8" x14ac:dyDescent="0.2">
      <c r="F4044" t="str">
        <f>"28269.9"</f>
        <v>28269.9</v>
      </c>
      <c r="H4044" t="s">
        <v>3020</v>
      </c>
    </row>
    <row r="4045" spans="4:8" x14ac:dyDescent="0.2">
      <c r="G4045" t="str">
        <f>"28269.90"</f>
        <v>28269.90</v>
      </c>
      <c r="H4045" t="s">
        <v>3020</v>
      </c>
    </row>
    <row r="4046" spans="4:8" x14ac:dyDescent="0.2">
      <c r="D4046" t="str">
        <f>"2829"</f>
        <v>2829</v>
      </c>
      <c r="H4046" t="s">
        <v>3021</v>
      </c>
    </row>
    <row r="4047" spans="4:8" x14ac:dyDescent="0.2">
      <c r="E4047" t="str">
        <f>"28291"</f>
        <v>28291</v>
      </c>
      <c r="H4047" t="s">
        <v>3022</v>
      </c>
    </row>
    <row r="4048" spans="4:8" x14ac:dyDescent="0.2">
      <c r="F4048" t="str">
        <f>"28291.1"</f>
        <v>28291.1</v>
      </c>
      <c r="H4048" t="s">
        <v>3022</v>
      </c>
    </row>
    <row r="4049" spans="5:8" x14ac:dyDescent="0.2">
      <c r="G4049" t="str">
        <f>"28291.10"</f>
        <v>28291.10</v>
      </c>
      <c r="H4049" t="s">
        <v>3022</v>
      </c>
    </row>
    <row r="4050" spans="5:8" x14ac:dyDescent="0.2">
      <c r="F4050" t="str">
        <f>"28291.2"</f>
        <v>28291.2</v>
      </c>
      <c r="H4050" t="s">
        <v>3023</v>
      </c>
    </row>
    <row r="4051" spans="5:8" x14ac:dyDescent="0.2">
      <c r="G4051" t="str">
        <f>"28291.20"</f>
        <v>28291.20</v>
      </c>
      <c r="H4051" t="s">
        <v>3023</v>
      </c>
    </row>
    <row r="4052" spans="5:8" x14ac:dyDescent="0.2">
      <c r="F4052" t="str">
        <f>"28291.9"</f>
        <v>28291.9</v>
      </c>
      <c r="H4052" t="s">
        <v>3024</v>
      </c>
    </row>
    <row r="4053" spans="5:8" x14ac:dyDescent="0.2">
      <c r="G4053" t="str">
        <f>"28291.90"</f>
        <v>28291.90</v>
      </c>
      <c r="H4053" t="s">
        <v>3024</v>
      </c>
    </row>
    <row r="4054" spans="5:8" x14ac:dyDescent="0.2">
      <c r="E4054" t="str">
        <f>"28292"</f>
        <v>28292</v>
      </c>
      <c r="H4054" t="s">
        <v>3025</v>
      </c>
    </row>
    <row r="4055" spans="5:8" x14ac:dyDescent="0.2">
      <c r="F4055" t="str">
        <f>"28292.1"</f>
        <v>28292.1</v>
      </c>
      <c r="H4055" t="s">
        <v>3026</v>
      </c>
    </row>
    <row r="4056" spans="5:8" x14ac:dyDescent="0.2">
      <c r="G4056" t="str">
        <f>"28292.10"</f>
        <v>28292.10</v>
      </c>
      <c r="H4056" t="s">
        <v>3026</v>
      </c>
    </row>
    <row r="4057" spans="5:8" x14ac:dyDescent="0.2">
      <c r="F4057" t="str">
        <f>"28292.2"</f>
        <v>28292.2</v>
      </c>
      <c r="H4057" t="s">
        <v>3027</v>
      </c>
    </row>
    <row r="4058" spans="5:8" x14ac:dyDescent="0.2">
      <c r="G4058" t="str">
        <f>"28292.20"</f>
        <v>28292.20</v>
      </c>
      <c r="H4058" t="s">
        <v>3027</v>
      </c>
    </row>
    <row r="4059" spans="5:8" x14ac:dyDescent="0.2">
      <c r="F4059" t="str">
        <f>"28292.9"</f>
        <v>28292.9</v>
      </c>
      <c r="H4059" t="s">
        <v>3028</v>
      </c>
    </row>
    <row r="4060" spans="5:8" x14ac:dyDescent="0.2">
      <c r="G4060" t="str">
        <f>"28292.90"</f>
        <v>28292.90</v>
      </c>
      <c r="H4060" t="s">
        <v>3028</v>
      </c>
    </row>
    <row r="4061" spans="5:8" x14ac:dyDescent="0.2">
      <c r="E4061" t="str">
        <f>"28299"</f>
        <v>28299</v>
      </c>
      <c r="H4061" t="s">
        <v>3029</v>
      </c>
    </row>
    <row r="4062" spans="5:8" x14ac:dyDescent="0.2">
      <c r="F4062" t="str">
        <f>"28299.1"</f>
        <v>28299.1</v>
      </c>
      <c r="H4062" t="s">
        <v>3030</v>
      </c>
    </row>
    <row r="4063" spans="5:8" x14ac:dyDescent="0.2">
      <c r="G4063" t="str">
        <f>"28299.11"</f>
        <v>28299.11</v>
      </c>
      <c r="H4063" t="s">
        <v>3031</v>
      </c>
    </row>
    <row r="4064" spans="5:8" x14ac:dyDescent="0.2">
      <c r="G4064" t="str">
        <f>"28299.12"</f>
        <v>28299.12</v>
      </c>
      <c r="H4064" t="s">
        <v>3032</v>
      </c>
    </row>
    <row r="4065" spans="2:8" x14ac:dyDescent="0.2">
      <c r="G4065" t="str">
        <f>"28299.13"</f>
        <v>28299.13</v>
      </c>
      <c r="H4065" t="s">
        <v>3033</v>
      </c>
    </row>
    <row r="4066" spans="2:8" x14ac:dyDescent="0.2">
      <c r="G4066" t="str">
        <f>"28299.14"</f>
        <v>28299.14</v>
      </c>
      <c r="H4066" t="s">
        <v>3034</v>
      </c>
    </row>
    <row r="4067" spans="2:8" x14ac:dyDescent="0.2">
      <c r="F4067" t="str">
        <f>"28299.2"</f>
        <v>28299.2</v>
      </c>
      <c r="H4067" t="s">
        <v>3035</v>
      </c>
    </row>
    <row r="4068" spans="2:8" x14ac:dyDescent="0.2">
      <c r="G4068" t="str">
        <f>"28299.20"</f>
        <v>28299.20</v>
      </c>
      <c r="H4068" t="s">
        <v>3035</v>
      </c>
    </row>
    <row r="4069" spans="2:8" x14ac:dyDescent="0.2">
      <c r="F4069" t="str">
        <f>"28299.3"</f>
        <v>28299.3</v>
      </c>
      <c r="H4069" t="s">
        <v>3029</v>
      </c>
    </row>
    <row r="4070" spans="2:8" x14ac:dyDescent="0.2">
      <c r="G4070" t="str">
        <f>"28299.31"</f>
        <v>28299.31</v>
      </c>
      <c r="H4070" t="s">
        <v>3036</v>
      </c>
    </row>
    <row r="4071" spans="2:8" x14ac:dyDescent="0.2">
      <c r="G4071" t="str">
        <f>"28299.32"</f>
        <v>28299.32</v>
      </c>
      <c r="H4071" t="s">
        <v>3037</v>
      </c>
    </row>
    <row r="4072" spans="2:8" x14ac:dyDescent="0.2">
      <c r="G4072" t="str">
        <f>"28299.39"</f>
        <v>28299.39</v>
      </c>
      <c r="H4072" t="s">
        <v>3038</v>
      </c>
    </row>
    <row r="4073" spans="2:8" x14ac:dyDescent="0.2">
      <c r="F4073" t="str">
        <f>"28299.4"</f>
        <v>28299.4</v>
      </c>
      <c r="H4073" t="s">
        <v>3039</v>
      </c>
    </row>
    <row r="4074" spans="2:8" x14ac:dyDescent="0.2">
      <c r="G4074" t="str">
        <f>"28299.41"</f>
        <v>28299.41</v>
      </c>
      <c r="H4074" t="s">
        <v>3040</v>
      </c>
    </row>
    <row r="4075" spans="2:8" x14ac:dyDescent="0.2">
      <c r="G4075" t="str">
        <f>"28299.42"</f>
        <v>28299.42</v>
      </c>
      <c r="H4075" t="s">
        <v>3041</v>
      </c>
    </row>
    <row r="4076" spans="2:8" x14ac:dyDescent="0.2">
      <c r="G4076" t="str">
        <f>"28299.43"</f>
        <v>28299.43</v>
      </c>
      <c r="H4076" t="s">
        <v>3039</v>
      </c>
    </row>
    <row r="4077" spans="2:8" x14ac:dyDescent="0.2">
      <c r="F4077" t="str">
        <f>"28299.9"</f>
        <v>28299.9</v>
      </c>
      <c r="H4077" t="s">
        <v>3042</v>
      </c>
    </row>
    <row r="4078" spans="2:8" x14ac:dyDescent="0.2">
      <c r="G4078" t="str">
        <f>"28299.90"</f>
        <v>28299.90</v>
      </c>
      <c r="H4078" t="s">
        <v>3042</v>
      </c>
    </row>
    <row r="4079" spans="2:8" x14ac:dyDescent="0.2">
      <c r="B4079" t="str">
        <f>"29"</f>
        <v>29</v>
      </c>
      <c r="H4079" t="s">
        <v>3043</v>
      </c>
    </row>
    <row r="4080" spans="2:8" x14ac:dyDescent="0.2">
      <c r="C4080" t="str">
        <f>"291"</f>
        <v>291</v>
      </c>
      <c r="H4080" t="s">
        <v>3044</v>
      </c>
    </row>
    <row r="4081" spans="4:8" x14ac:dyDescent="0.2">
      <c r="D4081" t="str">
        <f>"2910"</f>
        <v>2910</v>
      </c>
      <c r="H4081" t="s">
        <v>3044</v>
      </c>
    </row>
    <row r="4082" spans="4:8" x14ac:dyDescent="0.2">
      <c r="E4082" t="str">
        <f>"29101"</f>
        <v>29101</v>
      </c>
      <c r="H4082" t="s">
        <v>3045</v>
      </c>
    </row>
    <row r="4083" spans="4:8" x14ac:dyDescent="0.2">
      <c r="F4083" t="str">
        <f>"29101.1"</f>
        <v>29101.1</v>
      </c>
      <c r="H4083" t="s">
        <v>3046</v>
      </c>
    </row>
    <row r="4084" spans="4:8" x14ac:dyDescent="0.2">
      <c r="G4084" t="str">
        <f>"29101.11"</f>
        <v>29101.11</v>
      </c>
      <c r="H4084" t="s">
        <v>3047</v>
      </c>
    </row>
    <row r="4085" spans="4:8" x14ac:dyDescent="0.2">
      <c r="G4085" t="str">
        <f>"29101.12"</f>
        <v>29101.12</v>
      </c>
      <c r="H4085" t="s">
        <v>3048</v>
      </c>
    </row>
    <row r="4086" spans="4:8" x14ac:dyDescent="0.2">
      <c r="G4086" t="str">
        <f>"29101.13"</f>
        <v>29101.13</v>
      </c>
      <c r="H4086" t="s">
        <v>3049</v>
      </c>
    </row>
    <row r="4087" spans="4:8" x14ac:dyDescent="0.2">
      <c r="F4087" t="str">
        <f>"29101.2"</f>
        <v>29101.2</v>
      </c>
      <c r="H4087" t="s">
        <v>3050</v>
      </c>
    </row>
    <row r="4088" spans="4:8" x14ac:dyDescent="0.2">
      <c r="G4088" t="str">
        <f>"29101.20"</f>
        <v>29101.20</v>
      </c>
      <c r="H4088" t="s">
        <v>3050</v>
      </c>
    </row>
    <row r="4089" spans="4:8" x14ac:dyDescent="0.2">
      <c r="F4089" t="str">
        <f>"29101.9"</f>
        <v>29101.9</v>
      </c>
      <c r="H4089" t="s">
        <v>3051</v>
      </c>
    </row>
    <row r="4090" spans="4:8" x14ac:dyDescent="0.2">
      <c r="G4090" t="str">
        <f>"29101.90"</f>
        <v>29101.90</v>
      </c>
      <c r="H4090" t="s">
        <v>3051</v>
      </c>
    </row>
    <row r="4091" spans="4:8" x14ac:dyDescent="0.2">
      <c r="E4091" t="str">
        <f>"29102"</f>
        <v>29102</v>
      </c>
      <c r="H4091" t="s">
        <v>3052</v>
      </c>
    </row>
    <row r="4092" spans="4:8" x14ac:dyDescent="0.2">
      <c r="F4092" t="str">
        <f>"29102.1"</f>
        <v>29102.1</v>
      </c>
      <c r="H4092" t="s">
        <v>3052</v>
      </c>
    </row>
    <row r="4093" spans="4:8" x14ac:dyDescent="0.2">
      <c r="G4093" t="str">
        <f>"29102.11"</f>
        <v>29102.11</v>
      </c>
      <c r="H4093" t="s">
        <v>3053</v>
      </c>
    </row>
    <row r="4094" spans="4:8" x14ac:dyDescent="0.2">
      <c r="G4094" t="str">
        <f>"29102.12"</f>
        <v>29102.12</v>
      </c>
      <c r="H4094" t="s">
        <v>3054</v>
      </c>
    </row>
    <row r="4095" spans="4:8" x14ac:dyDescent="0.2">
      <c r="G4095" t="str">
        <f>"29102.13"</f>
        <v>29102.13</v>
      </c>
      <c r="H4095" t="s">
        <v>3055</v>
      </c>
    </row>
    <row r="4096" spans="4:8" x14ac:dyDescent="0.2">
      <c r="G4096" t="str">
        <f>"29102.14"</f>
        <v>29102.14</v>
      </c>
      <c r="H4096" t="s">
        <v>3056</v>
      </c>
    </row>
    <row r="4097" spans="5:8" x14ac:dyDescent="0.2">
      <c r="F4097" t="str">
        <f>"29102.9"</f>
        <v>29102.9</v>
      </c>
      <c r="H4097" t="s">
        <v>3057</v>
      </c>
    </row>
    <row r="4098" spans="5:8" x14ac:dyDescent="0.2">
      <c r="G4098" t="str">
        <f>"29102.90"</f>
        <v>29102.90</v>
      </c>
      <c r="H4098" t="s">
        <v>3057</v>
      </c>
    </row>
    <row r="4099" spans="5:8" x14ac:dyDescent="0.2">
      <c r="E4099" t="str">
        <f>"29103"</f>
        <v>29103</v>
      </c>
      <c r="H4099" t="s">
        <v>3058</v>
      </c>
    </row>
    <row r="4100" spans="5:8" x14ac:dyDescent="0.2">
      <c r="F4100" t="str">
        <f>"29103.1"</f>
        <v>29103.1</v>
      </c>
      <c r="H4100" t="s">
        <v>3058</v>
      </c>
    </row>
    <row r="4101" spans="5:8" x14ac:dyDescent="0.2">
      <c r="G4101" t="str">
        <f>"29103.11"</f>
        <v>29103.11</v>
      </c>
      <c r="H4101" t="s">
        <v>3059</v>
      </c>
    </row>
    <row r="4102" spans="5:8" x14ac:dyDescent="0.2">
      <c r="G4102" t="str">
        <f>"29103.12"</f>
        <v>29103.12</v>
      </c>
      <c r="H4102" t="s">
        <v>3060</v>
      </c>
    </row>
    <row r="4103" spans="5:8" x14ac:dyDescent="0.2">
      <c r="G4103" t="str">
        <f>"29103.13"</f>
        <v>29103.13</v>
      </c>
      <c r="H4103" t="s">
        <v>3061</v>
      </c>
    </row>
    <row r="4104" spans="5:8" x14ac:dyDescent="0.2">
      <c r="G4104" t="str">
        <f>"29103.14"</f>
        <v>29103.14</v>
      </c>
      <c r="H4104" t="s">
        <v>3062</v>
      </c>
    </row>
    <row r="4105" spans="5:8" x14ac:dyDescent="0.2">
      <c r="F4105" t="str">
        <f>"29103.9"</f>
        <v>29103.9</v>
      </c>
      <c r="H4105" t="s">
        <v>3063</v>
      </c>
    </row>
    <row r="4106" spans="5:8" x14ac:dyDescent="0.2">
      <c r="G4106" t="str">
        <f>"29103.90"</f>
        <v>29103.90</v>
      </c>
      <c r="H4106" t="s">
        <v>3063</v>
      </c>
    </row>
    <row r="4107" spans="5:8" x14ac:dyDescent="0.2">
      <c r="E4107" t="str">
        <f>"29104"</f>
        <v>29104</v>
      </c>
      <c r="H4107" t="s">
        <v>3064</v>
      </c>
    </row>
    <row r="4108" spans="5:8" x14ac:dyDescent="0.2">
      <c r="F4108" t="str">
        <f>"29104.1"</f>
        <v>29104.1</v>
      </c>
      <c r="H4108" t="s">
        <v>3065</v>
      </c>
    </row>
    <row r="4109" spans="5:8" x14ac:dyDescent="0.2">
      <c r="G4109" t="str">
        <f>"29104.10"</f>
        <v>29104.10</v>
      </c>
      <c r="H4109" t="s">
        <v>3065</v>
      </c>
    </row>
    <row r="4110" spans="5:8" x14ac:dyDescent="0.2">
      <c r="F4110" t="str">
        <f>"29104.9"</f>
        <v>29104.9</v>
      </c>
      <c r="H4110" t="s">
        <v>3066</v>
      </c>
    </row>
    <row r="4111" spans="5:8" x14ac:dyDescent="0.2">
      <c r="G4111" t="str">
        <f>"29104.90"</f>
        <v>29104.90</v>
      </c>
      <c r="H4111" t="s">
        <v>3066</v>
      </c>
    </row>
    <row r="4112" spans="5:8" x14ac:dyDescent="0.2">
      <c r="E4112" t="str">
        <f>"29109"</f>
        <v>29109</v>
      </c>
      <c r="H4112" t="s">
        <v>3067</v>
      </c>
    </row>
    <row r="4113" spans="3:8" x14ac:dyDescent="0.2">
      <c r="F4113" t="str">
        <f>"29109.1"</f>
        <v>29109.1</v>
      </c>
      <c r="H4113" t="s">
        <v>3068</v>
      </c>
    </row>
    <row r="4114" spans="3:8" x14ac:dyDescent="0.2">
      <c r="G4114" t="str">
        <f>"29109.11"</f>
        <v>29109.11</v>
      </c>
      <c r="H4114" t="s">
        <v>3069</v>
      </c>
    </row>
    <row r="4115" spans="3:8" x14ac:dyDescent="0.2">
      <c r="G4115" t="str">
        <f>"29109.12"</f>
        <v>29109.12</v>
      </c>
      <c r="H4115" t="s">
        <v>3070</v>
      </c>
    </row>
    <row r="4116" spans="3:8" x14ac:dyDescent="0.2">
      <c r="G4116" t="str">
        <f>"29109.13"</f>
        <v>29109.13</v>
      </c>
      <c r="H4116" t="s">
        <v>3071</v>
      </c>
    </row>
    <row r="4117" spans="3:8" x14ac:dyDescent="0.2">
      <c r="F4117" t="str">
        <f>"29109.2"</f>
        <v>29109.2</v>
      </c>
      <c r="H4117" t="s">
        <v>3067</v>
      </c>
    </row>
    <row r="4118" spans="3:8" x14ac:dyDescent="0.2">
      <c r="G4118" t="str">
        <f>"29109.21"</f>
        <v>29109.21</v>
      </c>
      <c r="H4118" t="s">
        <v>3072</v>
      </c>
    </row>
    <row r="4119" spans="3:8" x14ac:dyDescent="0.2">
      <c r="G4119" t="str">
        <f>"29109.22"</f>
        <v>29109.22</v>
      </c>
      <c r="H4119" t="s">
        <v>3073</v>
      </c>
    </row>
    <row r="4120" spans="3:8" x14ac:dyDescent="0.2">
      <c r="G4120" t="str">
        <f>"29109.29"</f>
        <v>29109.29</v>
      </c>
      <c r="H4120" t="s">
        <v>3074</v>
      </c>
    </row>
    <row r="4121" spans="3:8" x14ac:dyDescent="0.2">
      <c r="F4121" t="str">
        <f>"29109.9"</f>
        <v>29109.9</v>
      </c>
      <c r="H4121" t="s">
        <v>3075</v>
      </c>
    </row>
    <row r="4122" spans="3:8" x14ac:dyDescent="0.2">
      <c r="G4122" t="str">
        <f>"29109.90"</f>
        <v>29109.90</v>
      </c>
      <c r="H4122" t="s">
        <v>3075</v>
      </c>
    </row>
    <row r="4123" spans="3:8" x14ac:dyDescent="0.2">
      <c r="C4123" t="str">
        <f>"292"</f>
        <v>292</v>
      </c>
      <c r="H4123" t="s">
        <v>3076</v>
      </c>
    </row>
    <row r="4124" spans="3:8" x14ac:dyDescent="0.2">
      <c r="D4124" t="str">
        <f>"2920"</f>
        <v>2920</v>
      </c>
      <c r="H4124" t="s">
        <v>3076</v>
      </c>
    </row>
    <row r="4125" spans="3:8" x14ac:dyDescent="0.2">
      <c r="E4125" t="str">
        <f>"29201"</f>
        <v>29201</v>
      </c>
      <c r="H4125" t="s">
        <v>3077</v>
      </c>
    </row>
    <row r="4126" spans="3:8" x14ac:dyDescent="0.2">
      <c r="F4126" t="str">
        <f>"29201.1"</f>
        <v>29201.1</v>
      </c>
      <c r="H4126" t="s">
        <v>3078</v>
      </c>
    </row>
    <row r="4127" spans="3:8" x14ac:dyDescent="0.2">
      <c r="G4127" t="str">
        <f>"29201.10"</f>
        <v>29201.10</v>
      </c>
      <c r="H4127" t="s">
        <v>3078</v>
      </c>
    </row>
    <row r="4128" spans="3:8" x14ac:dyDescent="0.2">
      <c r="F4128" t="str">
        <f>"29201.9"</f>
        <v>29201.9</v>
      </c>
      <c r="H4128" t="s">
        <v>3079</v>
      </c>
    </row>
    <row r="4129" spans="3:8" x14ac:dyDescent="0.2">
      <c r="G4129" t="str">
        <f>"29201.90"</f>
        <v>29201.90</v>
      </c>
      <c r="H4129" t="s">
        <v>3079</v>
      </c>
    </row>
    <row r="4130" spans="3:8" x14ac:dyDescent="0.2">
      <c r="E4130" t="str">
        <f>"29202"</f>
        <v>29202</v>
      </c>
      <c r="H4130" t="s">
        <v>3080</v>
      </c>
    </row>
    <row r="4131" spans="3:8" x14ac:dyDescent="0.2">
      <c r="F4131" t="str">
        <f>"29202.1"</f>
        <v>29202.1</v>
      </c>
      <c r="H4131" t="s">
        <v>3080</v>
      </c>
    </row>
    <row r="4132" spans="3:8" x14ac:dyDescent="0.2">
      <c r="G4132" t="str">
        <f>"29202.11"</f>
        <v>29202.11</v>
      </c>
      <c r="H4132" t="s">
        <v>3081</v>
      </c>
    </row>
    <row r="4133" spans="3:8" x14ac:dyDescent="0.2">
      <c r="G4133" t="str">
        <f>"29202.19"</f>
        <v>29202.19</v>
      </c>
      <c r="H4133" t="s">
        <v>3082</v>
      </c>
    </row>
    <row r="4134" spans="3:8" x14ac:dyDescent="0.2">
      <c r="F4134" t="str">
        <f>"29202.2"</f>
        <v>29202.2</v>
      </c>
      <c r="H4134" t="s">
        <v>3083</v>
      </c>
    </row>
    <row r="4135" spans="3:8" x14ac:dyDescent="0.2">
      <c r="G4135" t="str">
        <f>"29202.20"</f>
        <v>29202.20</v>
      </c>
      <c r="H4135" t="s">
        <v>3083</v>
      </c>
    </row>
    <row r="4136" spans="3:8" x14ac:dyDescent="0.2">
      <c r="F4136" t="str">
        <f>"29202.9"</f>
        <v>29202.9</v>
      </c>
      <c r="H4136" t="s">
        <v>3084</v>
      </c>
    </row>
    <row r="4137" spans="3:8" x14ac:dyDescent="0.2">
      <c r="G4137" t="str">
        <f>"29202.90"</f>
        <v>29202.90</v>
      </c>
      <c r="H4137" t="s">
        <v>3084</v>
      </c>
    </row>
    <row r="4138" spans="3:8" x14ac:dyDescent="0.2">
      <c r="E4138" t="str">
        <f>"29203"</f>
        <v>29203</v>
      </c>
      <c r="H4138" t="s">
        <v>3085</v>
      </c>
    </row>
    <row r="4139" spans="3:8" x14ac:dyDescent="0.2">
      <c r="F4139" t="str">
        <f>"29203.1"</f>
        <v>29203.1</v>
      </c>
      <c r="H4139" t="s">
        <v>3086</v>
      </c>
    </row>
    <row r="4140" spans="3:8" x14ac:dyDescent="0.2">
      <c r="G4140" t="str">
        <f>"29203.10"</f>
        <v>29203.10</v>
      </c>
      <c r="H4140" t="s">
        <v>3086</v>
      </c>
    </row>
    <row r="4141" spans="3:8" x14ac:dyDescent="0.2">
      <c r="F4141" t="str">
        <f>"29203.9"</f>
        <v>29203.9</v>
      </c>
      <c r="H4141" t="s">
        <v>3087</v>
      </c>
    </row>
    <row r="4142" spans="3:8" x14ac:dyDescent="0.2">
      <c r="G4142" t="str">
        <f>"29203.90"</f>
        <v>29203.90</v>
      </c>
      <c r="H4142" t="s">
        <v>3087</v>
      </c>
    </row>
    <row r="4143" spans="3:8" x14ac:dyDescent="0.2">
      <c r="C4143" t="str">
        <f>"293"</f>
        <v>293</v>
      </c>
      <c r="H4143" t="s">
        <v>3088</v>
      </c>
    </row>
    <row r="4144" spans="3:8" x14ac:dyDescent="0.2">
      <c r="D4144" t="str">
        <f>"2930"</f>
        <v>2930</v>
      </c>
      <c r="H4144" t="s">
        <v>3088</v>
      </c>
    </row>
    <row r="4145" spans="5:8" x14ac:dyDescent="0.2">
      <c r="E4145" t="str">
        <f>"29301"</f>
        <v>29301</v>
      </c>
      <c r="H4145" t="s">
        <v>3089</v>
      </c>
    </row>
    <row r="4146" spans="5:8" x14ac:dyDescent="0.2">
      <c r="F4146" t="str">
        <f>"29301.1"</f>
        <v>29301.1</v>
      </c>
      <c r="H4146" t="s">
        <v>3089</v>
      </c>
    </row>
    <row r="4147" spans="5:8" x14ac:dyDescent="0.2">
      <c r="G4147" t="str">
        <f>"29301.10"</f>
        <v>29301.10</v>
      </c>
      <c r="H4147" t="s">
        <v>3089</v>
      </c>
    </row>
    <row r="4148" spans="5:8" x14ac:dyDescent="0.2">
      <c r="F4148" t="str">
        <f>"29301.9"</f>
        <v>29301.9</v>
      </c>
      <c r="H4148" t="s">
        <v>3090</v>
      </c>
    </row>
    <row r="4149" spans="5:8" x14ac:dyDescent="0.2">
      <c r="G4149" t="str">
        <f>"29301.90"</f>
        <v>29301.90</v>
      </c>
      <c r="H4149" t="s">
        <v>3090</v>
      </c>
    </row>
    <row r="4150" spans="5:8" x14ac:dyDescent="0.2">
      <c r="E4150" t="str">
        <f>"29302"</f>
        <v>29302</v>
      </c>
      <c r="H4150" t="s">
        <v>3091</v>
      </c>
    </row>
    <row r="4151" spans="5:8" x14ac:dyDescent="0.2">
      <c r="F4151" t="str">
        <f>"29302.1"</f>
        <v>29302.1</v>
      </c>
      <c r="H4151" t="s">
        <v>3092</v>
      </c>
    </row>
    <row r="4152" spans="5:8" x14ac:dyDescent="0.2">
      <c r="G4152" t="str">
        <f>"29302.10"</f>
        <v>29302.10</v>
      </c>
      <c r="H4152" t="s">
        <v>3092</v>
      </c>
    </row>
    <row r="4153" spans="5:8" x14ac:dyDescent="0.2">
      <c r="F4153" t="str">
        <f>"29302.2"</f>
        <v>29302.2</v>
      </c>
      <c r="H4153" t="s">
        <v>3093</v>
      </c>
    </row>
    <row r="4154" spans="5:8" x14ac:dyDescent="0.2">
      <c r="G4154" t="str">
        <f>"29302.21"</f>
        <v>29302.21</v>
      </c>
      <c r="H4154" t="s">
        <v>3094</v>
      </c>
    </row>
    <row r="4155" spans="5:8" x14ac:dyDescent="0.2">
      <c r="G4155" t="str">
        <f>"29302.22"</f>
        <v>29302.22</v>
      </c>
      <c r="H4155" t="s">
        <v>3095</v>
      </c>
    </row>
    <row r="4156" spans="5:8" x14ac:dyDescent="0.2">
      <c r="G4156" t="str">
        <f>"29302.23"</f>
        <v>29302.23</v>
      </c>
      <c r="H4156" t="s">
        <v>3096</v>
      </c>
    </row>
    <row r="4157" spans="5:8" x14ac:dyDescent="0.2">
      <c r="F4157" t="str">
        <f>"29302.3"</f>
        <v>29302.3</v>
      </c>
      <c r="H4157" t="s">
        <v>3097</v>
      </c>
    </row>
    <row r="4158" spans="5:8" x14ac:dyDescent="0.2">
      <c r="G4158" t="str">
        <f>"29302.30"</f>
        <v>29302.30</v>
      </c>
      <c r="H4158" t="s">
        <v>3097</v>
      </c>
    </row>
    <row r="4159" spans="5:8" x14ac:dyDescent="0.2">
      <c r="F4159" t="str">
        <f>"29302.9"</f>
        <v>29302.9</v>
      </c>
      <c r="H4159" t="s">
        <v>3098</v>
      </c>
    </row>
    <row r="4160" spans="5:8" x14ac:dyDescent="0.2">
      <c r="G4160" t="str">
        <f>"29302.90"</f>
        <v>29302.90</v>
      </c>
      <c r="H4160" t="s">
        <v>3098</v>
      </c>
    </row>
    <row r="4161" spans="2:8" x14ac:dyDescent="0.2">
      <c r="E4161" t="str">
        <f>"29309"</f>
        <v>29309</v>
      </c>
      <c r="H4161" t="s">
        <v>3099</v>
      </c>
    </row>
    <row r="4162" spans="2:8" x14ac:dyDescent="0.2">
      <c r="F4162" t="str">
        <f>"29309.1"</f>
        <v>29309.1</v>
      </c>
      <c r="H4162" t="s">
        <v>3100</v>
      </c>
    </row>
    <row r="4163" spans="2:8" x14ac:dyDescent="0.2">
      <c r="G4163" t="str">
        <f>"29309.10"</f>
        <v>29309.10</v>
      </c>
      <c r="H4163" t="s">
        <v>3100</v>
      </c>
    </row>
    <row r="4164" spans="2:8" x14ac:dyDescent="0.2">
      <c r="F4164" t="str">
        <f>"29309.2"</f>
        <v>29309.2</v>
      </c>
      <c r="H4164" t="s">
        <v>3099</v>
      </c>
    </row>
    <row r="4165" spans="2:8" x14ac:dyDescent="0.2">
      <c r="G4165" t="str">
        <f>"29309.20"</f>
        <v>29309.20</v>
      </c>
      <c r="H4165" t="s">
        <v>3099</v>
      </c>
    </row>
    <row r="4166" spans="2:8" x14ac:dyDescent="0.2">
      <c r="F4166" t="str">
        <f>"29309.9"</f>
        <v>29309.9</v>
      </c>
      <c r="H4166" t="s">
        <v>3101</v>
      </c>
    </row>
    <row r="4167" spans="2:8" x14ac:dyDescent="0.2">
      <c r="G4167" t="str">
        <f>"29309.90"</f>
        <v>29309.90</v>
      </c>
      <c r="H4167" t="s">
        <v>3101</v>
      </c>
    </row>
    <row r="4168" spans="2:8" x14ac:dyDescent="0.2">
      <c r="B4168" t="str">
        <f>"30"</f>
        <v>30</v>
      </c>
      <c r="H4168" t="s">
        <v>3102</v>
      </c>
    </row>
    <row r="4169" spans="2:8" x14ac:dyDescent="0.2">
      <c r="C4169" t="str">
        <f>"301"</f>
        <v>301</v>
      </c>
      <c r="H4169" t="s">
        <v>3103</v>
      </c>
    </row>
    <row r="4170" spans="2:8" x14ac:dyDescent="0.2">
      <c r="D4170" t="str">
        <f>"3011"</f>
        <v>3011</v>
      </c>
      <c r="H4170" t="s">
        <v>3104</v>
      </c>
    </row>
    <row r="4171" spans="2:8" x14ac:dyDescent="0.2">
      <c r="E4171" t="str">
        <f>"30110"</f>
        <v>30110</v>
      </c>
      <c r="H4171" t="s">
        <v>3104</v>
      </c>
    </row>
    <row r="4172" spans="2:8" x14ac:dyDescent="0.2">
      <c r="F4172" t="str">
        <f>"30110.1"</f>
        <v>30110.1</v>
      </c>
      <c r="H4172" t="s">
        <v>3105</v>
      </c>
    </row>
    <row r="4173" spans="2:8" x14ac:dyDescent="0.2">
      <c r="G4173" t="str">
        <f>"30110.10"</f>
        <v>30110.10</v>
      </c>
      <c r="H4173" t="s">
        <v>3105</v>
      </c>
    </row>
    <row r="4174" spans="2:8" x14ac:dyDescent="0.2">
      <c r="F4174" t="str">
        <f>"30110.2"</f>
        <v>30110.2</v>
      </c>
      <c r="H4174" t="s">
        <v>3106</v>
      </c>
    </row>
    <row r="4175" spans="2:8" x14ac:dyDescent="0.2">
      <c r="G4175" t="str">
        <f>"30110.21"</f>
        <v>30110.21</v>
      </c>
      <c r="H4175" t="s">
        <v>3107</v>
      </c>
    </row>
    <row r="4176" spans="2:8" x14ac:dyDescent="0.2">
      <c r="G4176" t="str">
        <f>"30110.22"</f>
        <v>30110.22</v>
      </c>
      <c r="H4176" t="s">
        <v>3108</v>
      </c>
    </row>
    <row r="4177" spans="4:8" x14ac:dyDescent="0.2">
      <c r="G4177" t="str">
        <f>"30110.23"</f>
        <v>30110.23</v>
      </c>
      <c r="H4177" t="s">
        <v>3109</v>
      </c>
    </row>
    <row r="4178" spans="4:8" x14ac:dyDescent="0.2">
      <c r="G4178" t="str">
        <f>"30110.24"</f>
        <v>30110.24</v>
      </c>
      <c r="H4178" t="s">
        <v>3110</v>
      </c>
    </row>
    <row r="4179" spans="4:8" x14ac:dyDescent="0.2">
      <c r="F4179" t="str">
        <f>"30110.3"</f>
        <v>30110.3</v>
      </c>
      <c r="H4179" t="s">
        <v>3111</v>
      </c>
    </row>
    <row r="4180" spans="4:8" x14ac:dyDescent="0.2">
      <c r="G4180" t="str">
        <f>"30110.31"</f>
        <v>30110.31</v>
      </c>
      <c r="H4180" t="s">
        <v>3112</v>
      </c>
    </row>
    <row r="4181" spans="4:8" x14ac:dyDescent="0.2">
      <c r="G4181" t="str">
        <f>"30110.32"</f>
        <v>30110.32</v>
      </c>
      <c r="H4181" t="s">
        <v>3113</v>
      </c>
    </row>
    <row r="4182" spans="4:8" x14ac:dyDescent="0.2">
      <c r="G4182" t="str">
        <f>"30110.39"</f>
        <v>30110.39</v>
      </c>
      <c r="H4182" t="s">
        <v>3114</v>
      </c>
    </row>
    <row r="4183" spans="4:8" x14ac:dyDescent="0.2">
      <c r="F4183" t="str">
        <f>"30110.4"</f>
        <v>30110.4</v>
      </c>
      <c r="H4183" t="s">
        <v>3115</v>
      </c>
    </row>
    <row r="4184" spans="4:8" x14ac:dyDescent="0.2">
      <c r="G4184" t="str">
        <f>"30110.40"</f>
        <v>30110.40</v>
      </c>
      <c r="H4184" t="s">
        <v>3115</v>
      </c>
    </row>
    <row r="4185" spans="4:8" x14ac:dyDescent="0.2">
      <c r="F4185" t="str">
        <f>"30110.5"</f>
        <v>30110.5</v>
      </c>
      <c r="H4185" t="s">
        <v>3116</v>
      </c>
    </row>
    <row r="4186" spans="4:8" x14ac:dyDescent="0.2">
      <c r="G4186" t="str">
        <f>"30110.50"</f>
        <v>30110.50</v>
      </c>
      <c r="H4186" t="s">
        <v>3116</v>
      </c>
    </row>
    <row r="4187" spans="4:8" x14ac:dyDescent="0.2">
      <c r="F4187" t="str">
        <f>"30110.9"</f>
        <v>30110.9</v>
      </c>
      <c r="H4187" t="s">
        <v>3117</v>
      </c>
    </row>
    <row r="4188" spans="4:8" x14ac:dyDescent="0.2">
      <c r="G4188" t="str">
        <f>"30110.90"</f>
        <v>30110.90</v>
      </c>
      <c r="H4188" t="s">
        <v>3117</v>
      </c>
    </row>
    <row r="4189" spans="4:8" x14ac:dyDescent="0.2">
      <c r="D4189" t="str">
        <f>"3012"</f>
        <v>3012</v>
      </c>
      <c r="H4189" t="s">
        <v>3118</v>
      </c>
    </row>
    <row r="4190" spans="4:8" x14ac:dyDescent="0.2">
      <c r="E4190" t="str">
        <f>"30120"</f>
        <v>30120</v>
      </c>
      <c r="H4190" t="s">
        <v>3118</v>
      </c>
    </row>
    <row r="4191" spans="4:8" x14ac:dyDescent="0.2">
      <c r="F4191" t="str">
        <f>"30120.1"</f>
        <v>30120.1</v>
      </c>
      <c r="H4191" t="s">
        <v>3118</v>
      </c>
    </row>
    <row r="4192" spans="4:8" x14ac:dyDescent="0.2">
      <c r="G4192" t="str">
        <f>"30120.11"</f>
        <v>30120.11</v>
      </c>
      <c r="H4192" t="s">
        <v>3119</v>
      </c>
    </row>
    <row r="4193" spans="3:8" x14ac:dyDescent="0.2">
      <c r="G4193" t="str">
        <f>"30120.12"</f>
        <v>30120.12</v>
      </c>
      <c r="H4193" t="s">
        <v>3120</v>
      </c>
    </row>
    <row r="4194" spans="3:8" x14ac:dyDescent="0.2">
      <c r="G4194" t="str">
        <f>"30120.19"</f>
        <v>30120.19</v>
      </c>
      <c r="H4194" t="s">
        <v>3121</v>
      </c>
    </row>
    <row r="4195" spans="3:8" x14ac:dyDescent="0.2">
      <c r="F4195" t="str">
        <f>"30120.9"</f>
        <v>30120.9</v>
      </c>
      <c r="H4195" t="s">
        <v>3122</v>
      </c>
    </row>
    <row r="4196" spans="3:8" x14ac:dyDescent="0.2">
      <c r="G4196" t="str">
        <f>"30120.90"</f>
        <v>30120.90</v>
      </c>
      <c r="H4196" t="s">
        <v>3122</v>
      </c>
    </row>
    <row r="4197" spans="3:8" x14ac:dyDescent="0.2">
      <c r="C4197" t="str">
        <f>"302"</f>
        <v>302</v>
      </c>
      <c r="H4197" t="s">
        <v>3123</v>
      </c>
    </row>
    <row r="4198" spans="3:8" x14ac:dyDescent="0.2">
      <c r="D4198" t="str">
        <f>"3020"</f>
        <v>3020</v>
      </c>
      <c r="H4198" t="s">
        <v>3123</v>
      </c>
    </row>
    <row r="4199" spans="3:8" x14ac:dyDescent="0.2">
      <c r="E4199" t="str">
        <f>"30200"</f>
        <v>30200</v>
      </c>
      <c r="H4199" t="s">
        <v>3123</v>
      </c>
    </row>
    <row r="4200" spans="3:8" x14ac:dyDescent="0.2">
      <c r="F4200" t="str">
        <f>"30200.1"</f>
        <v>30200.1</v>
      </c>
      <c r="H4200" t="s">
        <v>3124</v>
      </c>
    </row>
    <row r="4201" spans="3:8" x14ac:dyDescent="0.2">
      <c r="G4201" t="str">
        <f>"30200.11"</f>
        <v>30200.11</v>
      </c>
      <c r="H4201" t="s">
        <v>3125</v>
      </c>
    </row>
    <row r="4202" spans="3:8" x14ac:dyDescent="0.2">
      <c r="G4202" t="str">
        <f>"30200.12"</f>
        <v>30200.12</v>
      </c>
      <c r="H4202" t="s">
        <v>3126</v>
      </c>
    </row>
    <row r="4203" spans="3:8" x14ac:dyDescent="0.2">
      <c r="G4203" t="str">
        <f>"30200.19"</f>
        <v>30200.19</v>
      </c>
      <c r="H4203" t="s">
        <v>3127</v>
      </c>
    </row>
    <row r="4204" spans="3:8" x14ac:dyDescent="0.2">
      <c r="F4204" t="str">
        <f>"30200.2"</f>
        <v>30200.2</v>
      </c>
      <c r="H4204" t="s">
        <v>3128</v>
      </c>
    </row>
    <row r="4205" spans="3:8" x14ac:dyDescent="0.2">
      <c r="G4205" t="str">
        <f>"30200.20"</f>
        <v>30200.20</v>
      </c>
      <c r="H4205" t="s">
        <v>3128</v>
      </c>
    </row>
    <row r="4206" spans="3:8" x14ac:dyDescent="0.2">
      <c r="F4206" t="str">
        <f>"30200.3"</f>
        <v>30200.3</v>
      </c>
      <c r="H4206" t="s">
        <v>3129</v>
      </c>
    </row>
    <row r="4207" spans="3:8" x14ac:dyDescent="0.2">
      <c r="G4207" t="str">
        <f>"30200.31"</f>
        <v>30200.31</v>
      </c>
      <c r="H4207" t="s">
        <v>3130</v>
      </c>
    </row>
    <row r="4208" spans="3:8" x14ac:dyDescent="0.2">
      <c r="G4208" t="str">
        <f>"30200.32"</f>
        <v>30200.32</v>
      </c>
      <c r="H4208" t="s">
        <v>3131</v>
      </c>
    </row>
    <row r="4209" spans="3:8" x14ac:dyDescent="0.2">
      <c r="G4209" t="str">
        <f>"30200.33"</f>
        <v>30200.33</v>
      </c>
      <c r="H4209" t="s">
        <v>3132</v>
      </c>
    </row>
    <row r="4210" spans="3:8" x14ac:dyDescent="0.2">
      <c r="F4210" t="str">
        <f>"30200.4"</f>
        <v>30200.4</v>
      </c>
      <c r="H4210" t="s">
        <v>3133</v>
      </c>
    </row>
    <row r="4211" spans="3:8" x14ac:dyDescent="0.2">
      <c r="G4211" t="str">
        <f>"30200.40"</f>
        <v>30200.40</v>
      </c>
      <c r="H4211" t="s">
        <v>3133</v>
      </c>
    </row>
    <row r="4212" spans="3:8" x14ac:dyDescent="0.2">
      <c r="F4212" t="str">
        <f>"30200.9"</f>
        <v>30200.9</v>
      </c>
      <c r="H4212" t="s">
        <v>3134</v>
      </c>
    </row>
    <row r="4213" spans="3:8" x14ac:dyDescent="0.2">
      <c r="G4213" t="str">
        <f>"30200.90"</f>
        <v>30200.90</v>
      </c>
      <c r="H4213" t="s">
        <v>3134</v>
      </c>
    </row>
    <row r="4214" spans="3:8" x14ac:dyDescent="0.2">
      <c r="C4214" t="str">
        <f>"303"</f>
        <v>303</v>
      </c>
      <c r="H4214" t="s">
        <v>3135</v>
      </c>
    </row>
    <row r="4215" spans="3:8" x14ac:dyDescent="0.2">
      <c r="D4215" t="str">
        <f>"3030"</f>
        <v>3030</v>
      </c>
      <c r="H4215" t="s">
        <v>3135</v>
      </c>
    </row>
    <row r="4216" spans="3:8" x14ac:dyDescent="0.2">
      <c r="E4216" t="str">
        <f>"30300"</f>
        <v>30300</v>
      </c>
      <c r="H4216" t="s">
        <v>3135</v>
      </c>
    </row>
    <row r="4217" spans="3:8" x14ac:dyDescent="0.2">
      <c r="F4217" t="str">
        <f>"30300.1"</f>
        <v>30300.1</v>
      </c>
      <c r="H4217" t="s">
        <v>3136</v>
      </c>
    </row>
    <row r="4218" spans="3:8" x14ac:dyDescent="0.2">
      <c r="G4218" t="str">
        <f>"30300.11"</f>
        <v>30300.11</v>
      </c>
      <c r="H4218" t="s">
        <v>3137</v>
      </c>
    </row>
    <row r="4219" spans="3:8" x14ac:dyDescent="0.2">
      <c r="G4219" t="str">
        <f>"30300.12"</f>
        <v>30300.12</v>
      </c>
      <c r="H4219" t="s">
        <v>3138</v>
      </c>
    </row>
    <row r="4220" spans="3:8" x14ac:dyDescent="0.2">
      <c r="G4220" t="str">
        <f>"30300.13"</f>
        <v>30300.13</v>
      </c>
      <c r="H4220" t="s">
        <v>3139</v>
      </c>
    </row>
    <row r="4221" spans="3:8" x14ac:dyDescent="0.2">
      <c r="G4221" t="str">
        <f>"30300.14"</f>
        <v>30300.14</v>
      </c>
      <c r="H4221" t="s">
        <v>3140</v>
      </c>
    </row>
    <row r="4222" spans="3:8" x14ac:dyDescent="0.2">
      <c r="G4222" t="str">
        <f>"30300.15"</f>
        <v>30300.15</v>
      </c>
      <c r="H4222" t="s">
        <v>3141</v>
      </c>
    </row>
    <row r="4223" spans="3:8" x14ac:dyDescent="0.2">
      <c r="G4223" t="str">
        <f>"30300.16"</f>
        <v>30300.16</v>
      </c>
      <c r="H4223" t="s">
        <v>3142</v>
      </c>
    </row>
    <row r="4224" spans="3:8" x14ac:dyDescent="0.2">
      <c r="F4224" t="str">
        <f>"30300.2"</f>
        <v>30300.2</v>
      </c>
      <c r="H4224" t="s">
        <v>3143</v>
      </c>
    </row>
    <row r="4225" spans="3:8" x14ac:dyDescent="0.2">
      <c r="G4225" t="str">
        <f>"30300.20"</f>
        <v>30300.20</v>
      </c>
      <c r="H4225" t="s">
        <v>3143</v>
      </c>
    </row>
    <row r="4226" spans="3:8" x14ac:dyDescent="0.2">
      <c r="F4226" t="str">
        <f>"30300.3"</f>
        <v>30300.3</v>
      </c>
      <c r="H4226" t="s">
        <v>3144</v>
      </c>
    </row>
    <row r="4227" spans="3:8" x14ac:dyDescent="0.2">
      <c r="G4227" t="str">
        <f>"30300.31"</f>
        <v>30300.31</v>
      </c>
      <c r="H4227" t="s">
        <v>3145</v>
      </c>
    </row>
    <row r="4228" spans="3:8" x14ac:dyDescent="0.2">
      <c r="G4228" t="str">
        <f>"30300.32"</f>
        <v>30300.32</v>
      </c>
      <c r="H4228" t="s">
        <v>3146</v>
      </c>
    </row>
    <row r="4229" spans="3:8" x14ac:dyDescent="0.2">
      <c r="F4229" t="str">
        <f>"30300.4"</f>
        <v>30300.4</v>
      </c>
      <c r="H4229" t="s">
        <v>3147</v>
      </c>
    </row>
    <row r="4230" spans="3:8" x14ac:dyDescent="0.2">
      <c r="G4230" t="str">
        <f>"30300.40"</f>
        <v>30300.40</v>
      </c>
      <c r="H4230" t="s">
        <v>3147</v>
      </c>
    </row>
    <row r="4231" spans="3:8" x14ac:dyDescent="0.2">
      <c r="F4231" t="str">
        <f>"30300.5"</f>
        <v>30300.5</v>
      </c>
      <c r="H4231" t="s">
        <v>3148</v>
      </c>
    </row>
    <row r="4232" spans="3:8" x14ac:dyDescent="0.2">
      <c r="G4232" t="str">
        <f>"30300.50"</f>
        <v>30300.50</v>
      </c>
      <c r="H4232" t="s">
        <v>3148</v>
      </c>
    </row>
    <row r="4233" spans="3:8" x14ac:dyDescent="0.2">
      <c r="F4233" t="str">
        <f>"30300.9"</f>
        <v>30300.9</v>
      </c>
      <c r="H4233" t="s">
        <v>3149</v>
      </c>
    </row>
    <row r="4234" spans="3:8" x14ac:dyDescent="0.2">
      <c r="G4234" t="str">
        <f>"30300.90"</f>
        <v>30300.90</v>
      </c>
      <c r="H4234" t="s">
        <v>3149</v>
      </c>
    </row>
    <row r="4235" spans="3:8" x14ac:dyDescent="0.2">
      <c r="C4235" t="str">
        <f>"304"</f>
        <v>304</v>
      </c>
      <c r="H4235" t="s">
        <v>3150</v>
      </c>
    </row>
    <row r="4236" spans="3:8" x14ac:dyDescent="0.2">
      <c r="D4236" t="str">
        <f>"3040"</f>
        <v>3040</v>
      </c>
      <c r="H4236" t="s">
        <v>3150</v>
      </c>
    </row>
    <row r="4237" spans="3:8" x14ac:dyDescent="0.2">
      <c r="E4237" t="str">
        <f>"30400"</f>
        <v>30400</v>
      </c>
      <c r="H4237" t="s">
        <v>3150</v>
      </c>
    </row>
    <row r="4238" spans="3:8" x14ac:dyDescent="0.2">
      <c r="F4238" t="str">
        <f>"30400.1"</f>
        <v>30400.1</v>
      </c>
      <c r="H4238" t="s">
        <v>3151</v>
      </c>
    </row>
    <row r="4239" spans="3:8" x14ac:dyDescent="0.2">
      <c r="G4239" t="str">
        <f>"30400.10"</f>
        <v>30400.10</v>
      </c>
      <c r="H4239" t="s">
        <v>3151</v>
      </c>
    </row>
    <row r="4240" spans="3:8" x14ac:dyDescent="0.2">
      <c r="F4240" t="str">
        <f>"30400.9"</f>
        <v>30400.9</v>
      </c>
      <c r="H4240" t="s">
        <v>3152</v>
      </c>
    </row>
    <row r="4241" spans="3:8" x14ac:dyDescent="0.2">
      <c r="G4241" t="str">
        <f>"30400.90"</f>
        <v>30400.90</v>
      </c>
      <c r="H4241" t="s">
        <v>3152</v>
      </c>
    </row>
    <row r="4242" spans="3:8" x14ac:dyDescent="0.2">
      <c r="C4242" t="str">
        <f>"309"</f>
        <v>309</v>
      </c>
      <c r="H4242" t="s">
        <v>3153</v>
      </c>
    </row>
    <row r="4243" spans="3:8" x14ac:dyDescent="0.2">
      <c r="D4243" t="str">
        <f>"3091"</f>
        <v>3091</v>
      </c>
      <c r="H4243" t="s">
        <v>3154</v>
      </c>
    </row>
    <row r="4244" spans="3:8" x14ac:dyDescent="0.2">
      <c r="E4244" t="str">
        <f>"30911"</f>
        <v>30911</v>
      </c>
      <c r="H4244" t="s">
        <v>3154</v>
      </c>
    </row>
    <row r="4245" spans="3:8" x14ac:dyDescent="0.2">
      <c r="F4245" t="str">
        <f>"30911.1"</f>
        <v>30911.1</v>
      </c>
      <c r="H4245" t="s">
        <v>3155</v>
      </c>
    </row>
    <row r="4246" spans="3:8" x14ac:dyDescent="0.2">
      <c r="G4246" t="str">
        <f>"30911.11"</f>
        <v>30911.11</v>
      </c>
      <c r="H4246" t="s">
        <v>3156</v>
      </c>
    </row>
    <row r="4247" spans="3:8" x14ac:dyDescent="0.2">
      <c r="G4247" t="str">
        <f>"30911.12"</f>
        <v>30911.12</v>
      </c>
      <c r="H4247" t="s">
        <v>3157</v>
      </c>
    </row>
    <row r="4248" spans="3:8" x14ac:dyDescent="0.2">
      <c r="G4248" t="str">
        <f>"30911.19"</f>
        <v>30911.19</v>
      </c>
      <c r="H4248" t="s">
        <v>3158</v>
      </c>
    </row>
    <row r="4249" spans="3:8" x14ac:dyDescent="0.2">
      <c r="F4249" t="str">
        <f>"30911.9"</f>
        <v>30911.9</v>
      </c>
      <c r="H4249" t="s">
        <v>3159</v>
      </c>
    </row>
    <row r="4250" spans="3:8" x14ac:dyDescent="0.2">
      <c r="G4250" t="str">
        <f>"30911.90"</f>
        <v>30911.90</v>
      </c>
      <c r="H4250" t="s">
        <v>3159</v>
      </c>
    </row>
    <row r="4251" spans="3:8" x14ac:dyDescent="0.2">
      <c r="E4251" t="str">
        <f>"30912"</f>
        <v>30912</v>
      </c>
      <c r="H4251" t="s">
        <v>3160</v>
      </c>
    </row>
    <row r="4252" spans="3:8" x14ac:dyDescent="0.2">
      <c r="F4252" t="str">
        <f>"30912.1"</f>
        <v>30912.1</v>
      </c>
      <c r="H4252" t="s">
        <v>3161</v>
      </c>
    </row>
    <row r="4253" spans="3:8" x14ac:dyDescent="0.2">
      <c r="G4253" t="str">
        <f>"30912.10"</f>
        <v>30912.10</v>
      </c>
      <c r="H4253" t="s">
        <v>3161</v>
      </c>
    </row>
    <row r="4254" spans="3:8" x14ac:dyDescent="0.2">
      <c r="F4254" t="str">
        <f>"30912.2"</f>
        <v>30912.2</v>
      </c>
      <c r="H4254" t="s">
        <v>3162</v>
      </c>
    </row>
    <row r="4255" spans="3:8" x14ac:dyDescent="0.2">
      <c r="G4255" t="str">
        <f>"30912.20"</f>
        <v>30912.20</v>
      </c>
      <c r="H4255" t="s">
        <v>3162</v>
      </c>
    </row>
    <row r="4256" spans="3:8" x14ac:dyDescent="0.2">
      <c r="F4256" t="str">
        <f>"30912.9"</f>
        <v>30912.9</v>
      </c>
      <c r="H4256" t="s">
        <v>3163</v>
      </c>
    </row>
    <row r="4257" spans="4:8" x14ac:dyDescent="0.2">
      <c r="G4257" t="str">
        <f>"30912.90"</f>
        <v>30912.90</v>
      </c>
      <c r="H4257" t="s">
        <v>3163</v>
      </c>
    </row>
    <row r="4258" spans="4:8" x14ac:dyDescent="0.2">
      <c r="D4258" t="str">
        <f>"3092"</f>
        <v>3092</v>
      </c>
      <c r="H4258" t="s">
        <v>3164</v>
      </c>
    </row>
    <row r="4259" spans="4:8" x14ac:dyDescent="0.2">
      <c r="E4259" t="str">
        <f>"30921"</f>
        <v>30921</v>
      </c>
      <c r="H4259" t="s">
        <v>3165</v>
      </c>
    </row>
    <row r="4260" spans="4:8" x14ac:dyDescent="0.2">
      <c r="F4260" t="str">
        <f>"30921.1"</f>
        <v>30921.1</v>
      </c>
      <c r="H4260" t="s">
        <v>3166</v>
      </c>
    </row>
    <row r="4261" spans="4:8" x14ac:dyDescent="0.2">
      <c r="G4261" t="str">
        <f>"30921.10"</f>
        <v>30921.10</v>
      </c>
      <c r="H4261" t="s">
        <v>3166</v>
      </c>
    </row>
    <row r="4262" spans="4:8" x14ac:dyDescent="0.2">
      <c r="F4262" t="str">
        <f>"30921.2"</f>
        <v>30921.2</v>
      </c>
      <c r="H4262" t="s">
        <v>3167</v>
      </c>
    </row>
    <row r="4263" spans="4:8" x14ac:dyDescent="0.2">
      <c r="G4263" t="str">
        <f>"30921.20"</f>
        <v>30921.20</v>
      </c>
      <c r="H4263" t="s">
        <v>3167</v>
      </c>
    </row>
    <row r="4264" spans="4:8" x14ac:dyDescent="0.2">
      <c r="F4264" t="str">
        <f>"30921.9"</f>
        <v>30921.9</v>
      </c>
      <c r="H4264" t="s">
        <v>3168</v>
      </c>
    </row>
    <row r="4265" spans="4:8" x14ac:dyDescent="0.2">
      <c r="G4265" t="str">
        <f>"30921.90"</f>
        <v>30921.90</v>
      </c>
      <c r="H4265" t="s">
        <v>3168</v>
      </c>
    </row>
    <row r="4266" spans="4:8" x14ac:dyDescent="0.2">
      <c r="E4266" t="str">
        <f>"30922"</f>
        <v>30922</v>
      </c>
      <c r="H4266" t="s">
        <v>3169</v>
      </c>
    </row>
    <row r="4267" spans="4:8" x14ac:dyDescent="0.2">
      <c r="F4267" t="str">
        <f>"30922.1"</f>
        <v>30922.1</v>
      </c>
      <c r="H4267" t="s">
        <v>3170</v>
      </c>
    </row>
    <row r="4268" spans="4:8" x14ac:dyDescent="0.2">
      <c r="G4268" t="str">
        <f>"30922.10"</f>
        <v>30922.10</v>
      </c>
      <c r="H4268" t="s">
        <v>3170</v>
      </c>
    </row>
    <row r="4269" spans="4:8" x14ac:dyDescent="0.2">
      <c r="F4269" t="str">
        <f>"30922.2"</f>
        <v>30922.2</v>
      </c>
      <c r="H4269" t="s">
        <v>3171</v>
      </c>
    </row>
    <row r="4270" spans="4:8" x14ac:dyDescent="0.2">
      <c r="G4270" t="str">
        <f>"30922.20"</f>
        <v>30922.20</v>
      </c>
      <c r="H4270" t="s">
        <v>3171</v>
      </c>
    </row>
    <row r="4271" spans="4:8" x14ac:dyDescent="0.2">
      <c r="F4271" t="str">
        <f>"30922.9"</f>
        <v>30922.9</v>
      </c>
      <c r="H4271" t="s">
        <v>3172</v>
      </c>
    </row>
    <row r="4272" spans="4:8" x14ac:dyDescent="0.2">
      <c r="G4272" t="str">
        <f>"30922.90"</f>
        <v>30922.90</v>
      </c>
      <c r="H4272" t="s">
        <v>3172</v>
      </c>
    </row>
    <row r="4273" spans="2:8" x14ac:dyDescent="0.2">
      <c r="D4273" t="str">
        <f>"3099"</f>
        <v>3099</v>
      </c>
      <c r="H4273" t="s">
        <v>3173</v>
      </c>
    </row>
    <row r="4274" spans="2:8" x14ac:dyDescent="0.2">
      <c r="E4274" t="str">
        <f>"30990"</f>
        <v>30990</v>
      </c>
      <c r="H4274" t="s">
        <v>3173</v>
      </c>
    </row>
    <row r="4275" spans="2:8" x14ac:dyDescent="0.2">
      <c r="F4275" t="str">
        <f>"30990.1"</f>
        <v>30990.1</v>
      </c>
      <c r="H4275" t="s">
        <v>3174</v>
      </c>
    </row>
    <row r="4276" spans="2:8" x14ac:dyDescent="0.2">
      <c r="G4276" t="str">
        <f>"30990.10"</f>
        <v>30990.10</v>
      </c>
      <c r="H4276" t="s">
        <v>3174</v>
      </c>
    </row>
    <row r="4277" spans="2:8" x14ac:dyDescent="0.2">
      <c r="F4277" t="str">
        <f>"30990.9"</f>
        <v>30990.9</v>
      </c>
      <c r="H4277" t="s">
        <v>3175</v>
      </c>
    </row>
    <row r="4278" spans="2:8" x14ac:dyDescent="0.2">
      <c r="G4278" t="str">
        <f>"30990.90"</f>
        <v>30990.90</v>
      </c>
      <c r="H4278" t="s">
        <v>3175</v>
      </c>
    </row>
    <row r="4279" spans="2:8" x14ac:dyDescent="0.2">
      <c r="B4279" t="str">
        <f>"31"</f>
        <v>31</v>
      </c>
      <c r="H4279" t="s">
        <v>3176</v>
      </c>
    </row>
    <row r="4280" spans="2:8" x14ac:dyDescent="0.2">
      <c r="C4280" t="str">
        <f>"310"</f>
        <v>310</v>
      </c>
      <c r="H4280" t="s">
        <v>3176</v>
      </c>
    </row>
    <row r="4281" spans="2:8" x14ac:dyDescent="0.2">
      <c r="D4281" t="str">
        <f>"3100"</f>
        <v>3100</v>
      </c>
      <c r="H4281" t="s">
        <v>3176</v>
      </c>
    </row>
    <row r="4282" spans="2:8" x14ac:dyDescent="0.2">
      <c r="E4282" t="str">
        <f>"31001"</f>
        <v>31001</v>
      </c>
      <c r="H4282" t="s">
        <v>3177</v>
      </c>
    </row>
    <row r="4283" spans="2:8" x14ac:dyDescent="0.2">
      <c r="F4283" t="str">
        <f>"31001.1"</f>
        <v>31001.1</v>
      </c>
      <c r="H4283" t="s">
        <v>3177</v>
      </c>
    </row>
    <row r="4284" spans="2:8" x14ac:dyDescent="0.2">
      <c r="G4284" t="str">
        <f>"31001.11"</f>
        <v>31001.11</v>
      </c>
      <c r="H4284" t="s">
        <v>3178</v>
      </c>
    </row>
    <row r="4285" spans="2:8" x14ac:dyDescent="0.2">
      <c r="G4285" t="str">
        <f>"31001.12"</f>
        <v>31001.12</v>
      </c>
      <c r="H4285" t="s">
        <v>3179</v>
      </c>
    </row>
    <row r="4286" spans="2:8" x14ac:dyDescent="0.2">
      <c r="G4286" t="str">
        <f>"31001.19"</f>
        <v>31001.19</v>
      </c>
      <c r="H4286" t="s">
        <v>3180</v>
      </c>
    </row>
    <row r="4287" spans="2:8" x14ac:dyDescent="0.2">
      <c r="F4287" t="str">
        <f>"31001.2"</f>
        <v>31001.2</v>
      </c>
      <c r="H4287" t="s">
        <v>3181</v>
      </c>
    </row>
    <row r="4288" spans="2:8" x14ac:dyDescent="0.2">
      <c r="G4288" t="str">
        <f>"31001.20"</f>
        <v>31001.20</v>
      </c>
      <c r="H4288" t="s">
        <v>3181</v>
      </c>
    </row>
    <row r="4289" spans="5:8" x14ac:dyDescent="0.2">
      <c r="F4289" t="str">
        <f>"31001.9"</f>
        <v>31001.9</v>
      </c>
      <c r="H4289" t="s">
        <v>3182</v>
      </c>
    </row>
    <row r="4290" spans="5:8" x14ac:dyDescent="0.2">
      <c r="G4290" t="str">
        <f>"31001.90"</f>
        <v>31001.90</v>
      </c>
      <c r="H4290" t="s">
        <v>3182</v>
      </c>
    </row>
    <row r="4291" spans="5:8" x14ac:dyDescent="0.2">
      <c r="E4291" t="str">
        <f>"31002"</f>
        <v>31002</v>
      </c>
      <c r="H4291" t="s">
        <v>3183</v>
      </c>
    </row>
    <row r="4292" spans="5:8" x14ac:dyDescent="0.2">
      <c r="F4292" t="str">
        <f>"31002.1"</f>
        <v>31002.1</v>
      </c>
      <c r="H4292" t="s">
        <v>3183</v>
      </c>
    </row>
    <row r="4293" spans="5:8" x14ac:dyDescent="0.2">
      <c r="G4293" t="str">
        <f>"31002.11"</f>
        <v>31002.11</v>
      </c>
      <c r="H4293" t="s">
        <v>3184</v>
      </c>
    </row>
    <row r="4294" spans="5:8" x14ac:dyDescent="0.2">
      <c r="G4294" t="str">
        <f>"31002.19"</f>
        <v>31002.19</v>
      </c>
      <c r="H4294" t="s">
        <v>3185</v>
      </c>
    </row>
    <row r="4295" spans="5:8" x14ac:dyDescent="0.2">
      <c r="F4295" t="str">
        <f>"31002.2"</f>
        <v>31002.2</v>
      </c>
      <c r="H4295" t="s">
        <v>3186</v>
      </c>
    </row>
    <row r="4296" spans="5:8" x14ac:dyDescent="0.2">
      <c r="G4296" t="str">
        <f>"31002.20"</f>
        <v>31002.20</v>
      </c>
      <c r="H4296" t="s">
        <v>3186</v>
      </c>
    </row>
    <row r="4297" spans="5:8" x14ac:dyDescent="0.2">
      <c r="F4297" t="str">
        <f>"31002.9"</f>
        <v>31002.9</v>
      </c>
      <c r="H4297" t="s">
        <v>3187</v>
      </c>
    </row>
    <row r="4298" spans="5:8" x14ac:dyDescent="0.2">
      <c r="G4298" t="str">
        <f>"31002.90"</f>
        <v>31002.90</v>
      </c>
      <c r="H4298" t="s">
        <v>3187</v>
      </c>
    </row>
    <row r="4299" spans="5:8" x14ac:dyDescent="0.2">
      <c r="E4299" t="str">
        <f>"31003"</f>
        <v>31003</v>
      </c>
      <c r="H4299" t="s">
        <v>3188</v>
      </c>
    </row>
    <row r="4300" spans="5:8" x14ac:dyDescent="0.2">
      <c r="F4300" t="str">
        <f>"31003.1"</f>
        <v>31003.1</v>
      </c>
      <c r="H4300" t="s">
        <v>3188</v>
      </c>
    </row>
    <row r="4301" spans="5:8" x14ac:dyDescent="0.2">
      <c r="G4301" t="str">
        <f>"31003.11"</f>
        <v>31003.11</v>
      </c>
      <c r="H4301" t="s">
        <v>3189</v>
      </c>
    </row>
    <row r="4302" spans="5:8" x14ac:dyDescent="0.2">
      <c r="G4302" t="str">
        <f>"31003.12"</f>
        <v>31003.12</v>
      </c>
      <c r="H4302" t="s">
        <v>3190</v>
      </c>
    </row>
    <row r="4303" spans="5:8" x14ac:dyDescent="0.2">
      <c r="F4303" t="str">
        <f>"31003.9"</f>
        <v>31003.9</v>
      </c>
      <c r="H4303" t="s">
        <v>3191</v>
      </c>
    </row>
    <row r="4304" spans="5:8" x14ac:dyDescent="0.2">
      <c r="G4304" t="str">
        <f>"31003.90"</f>
        <v>31003.90</v>
      </c>
      <c r="H4304" t="s">
        <v>3191</v>
      </c>
    </row>
    <row r="4305" spans="2:8" x14ac:dyDescent="0.2">
      <c r="E4305" t="str">
        <f>"31009"</f>
        <v>31009</v>
      </c>
      <c r="H4305" t="s">
        <v>3192</v>
      </c>
    </row>
    <row r="4306" spans="2:8" x14ac:dyDescent="0.2">
      <c r="F4306" t="str">
        <f>"31009.1"</f>
        <v>31009.1</v>
      </c>
      <c r="H4306" t="s">
        <v>3192</v>
      </c>
    </row>
    <row r="4307" spans="2:8" x14ac:dyDescent="0.2">
      <c r="G4307" t="str">
        <f>"31009.11"</f>
        <v>31009.11</v>
      </c>
      <c r="H4307" t="s">
        <v>3193</v>
      </c>
    </row>
    <row r="4308" spans="2:8" x14ac:dyDescent="0.2">
      <c r="G4308" t="str">
        <f>"31009.19"</f>
        <v>31009.19</v>
      </c>
      <c r="H4308" t="s">
        <v>3194</v>
      </c>
    </row>
    <row r="4309" spans="2:8" x14ac:dyDescent="0.2">
      <c r="F4309" t="str">
        <f>"31009.2"</f>
        <v>31009.2</v>
      </c>
      <c r="H4309" t="s">
        <v>3195</v>
      </c>
    </row>
    <row r="4310" spans="2:8" x14ac:dyDescent="0.2">
      <c r="G4310" t="str">
        <f>"31009.20"</f>
        <v>31009.20</v>
      </c>
      <c r="H4310" t="s">
        <v>3195</v>
      </c>
    </row>
    <row r="4311" spans="2:8" x14ac:dyDescent="0.2">
      <c r="F4311" t="str">
        <f>"31009.9"</f>
        <v>31009.9</v>
      </c>
      <c r="H4311" t="s">
        <v>3196</v>
      </c>
    </row>
    <row r="4312" spans="2:8" x14ac:dyDescent="0.2">
      <c r="G4312" t="str">
        <f>"31009.91"</f>
        <v>31009.91</v>
      </c>
      <c r="H4312" t="s">
        <v>3197</v>
      </c>
    </row>
    <row r="4313" spans="2:8" x14ac:dyDescent="0.2">
      <c r="G4313" t="str">
        <f>"31009.92"</f>
        <v>31009.92</v>
      </c>
      <c r="H4313" t="s">
        <v>3198</v>
      </c>
    </row>
    <row r="4314" spans="2:8" x14ac:dyDescent="0.2">
      <c r="G4314" t="str">
        <f>"31009.93"</f>
        <v>31009.93</v>
      </c>
      <c r="H4314" t="s">
        <v>3199</v>
      </c>
    </row>
    <row r="4315" spans="2:8" x14ac:dyDescent="0.2">
      <c r="B4315" t="str">
        <f>"32"</f>
        <v>32</v>
      </c>
      <c r="H4315" t="s">
        <v>3200</v>
      </c>
    </row>
    <row r="4316" spans="2:8" x14ac:dyDescent="0.2">
      <c r="C4316" t="str">
        <f>"321"</f>
        <v>321</v>
      </c>
      <c r="H4316" t="s">
        <v>3201</v>
      </c>
    </row>
    <row r="4317" spans="2:8" x14ac:dyDescent="0.2">
      <c r="D4317" t="str">
        <f>"3211"</f>
        <v>3211</v>
      </c>
      <c r="H4317" t="s">
        <v>3202</v>
      </c>
    </row>
    <row r="4318" spans="2:8" x14ac:dyDescent="0.2">
      <c r="E4318" t="str">
        <f>"32111"</f>
        <v>32111</v>
      </c>
      <c r="H4318" t="s">
        <v>3203</v>
      </c>
    </row>
    <row r="4319" spans="2:8" x14ac:dyDescent="0.2">
      <c r="F4319" t="str">
        <f>"32111.1"</f>
        <v>32111.1</v>
      </c>
      <c r="H4319" t="s">
        <v>3203</v>
      </c>
    </row>
    <row r="4320" spans="2:8" x14ac:dyDescent="0.2">
      <c r="G4320" t="str">
        <f>"32111.11"</f>
        <v>32111.11</v>
      </c>
      <c r="H4320" t="s">
        <v>3204</v>
      </c>
    </row>
    <row r="4321" spans="5:8" x14ac:dyDescent="0.2">
      <c r="G4321" t="str">
        <f>"32111.12"</f>
        <v>32111.12</v>
      </c>
      <c r="H4321" t="s">
        <v>3205</v>
      </c>
    </row>
    <row r="4322" spans="5:8" x14ac:dyDescent="0.2">
      <c r="G4322" t="str">
        <f>"32111.13"</f>
        <v>32111.13</v>
      </c>
      <c r="H4322" t="s">
        <v>3206</v>
      </c>
    </row>
    <row r="4323" spans="5:8" x14ac:dyDescent="0.2">
      <c r="F4323" t="str">
        <f>"32111.9"</f>
        <v>32111.9</v>
      </c>
      <c r="H4323" t="s">
        <v>3207</v>
      </c>
    </row>
    <row r="4324" spans="5:8" x14ac:dyDescent="0.2">
      <c r="G4324" t="str">
        <f>"32111.90"</f>
        <v>32111.90</v>
      </c>
      <c r="H4324" t="s">
        <v>3207</v>
      </c>
    </row>
    <row r="4325" spans="5:8" x14ac:dyDescent="0.2">
      <c r="E4325" t="str">
        <f>"32112"</f>
        <v>32112</v>
      </c>
      <c r="H4325" t="s">
        <v>3208</v>
      </c>
    </row>
    <row r="4326" spans="5:8" x14ac:dyDescent="0.2">
      <c r="F4326" t="str">
        <f>"32112.1"</f>
        <v>32112.1</v>
      </c>
      <c r="H4326" t="s">
        <v>3209</v>
      </c>
    </row>
    <row r="4327" spans="5:8" x14ac:dyDescent="0.2">
      <c r="G4327" t="str">
        <f>"32112.10"</f>
        <v>32112.10</v>
      </c>
      <c r="H4327" t="s">
        <v>3209</v>
      </c>
    </row>
    <row r="4328" spans="5:8" x14ac:dyDescent="0.2">
      <c r="F4328" t="str">
        <f>"32112.2"</f>
        <v>32112.2</v>
      </c>
      <c r="H4328" t="s">
        <v>3210</v>
      </c>
    </row>
    <row r="4329" spans="5:8" x14ac:dyDescent="0.2">
      <c r="G4329" t="str">
        <f>"32112.21"</f>
        <v>32112.21</v>
      </c>
      <c r="H4329" t="s">
        <v>3211</v>
      </c>
    </row>
    <row r="4330" spans="5:8" x14ac:dyDescent="0.2">
      <c r="G4330" t="str">
        <f>"32112.22"</f>
        <v>32112.22</v>
      </c>
      <c r="H4330" t="s">
        <v>3212</v>
      </c>
    </row>
    <row r="4331" spans="5:8" x14ac:dyDescent="0.2">
      <c r="G4331" t="str">
        <f>"32112.29"</f>
        <v>32112.29</v>
      </c>
      <c r="H4331" t="s">
        <v>3213</v>
      </c>
    </row>
    <row r="4332" spans="5:8" x14ac:dyDescent="0.2">
      <c r="F4332" t="str">
        <f>"32112.9"</f>
        <v>32112.9</v>
      </c>
      <c r="H4332" t="s">
        <v>3214</v>
      </c>
    </row>
    <row r="4333" spans="5:8" x14ac:dyDescent="0.2">
      <c r="G4333" t="str">
        <f>"32112.90"</f>
        <v>32112.90</v>
      </c>
      <c r="H4333" t="s">
        <v>3214</v>
      </c>
    </row>
    <row r="4334" spans="5:8" x14ac:dyDescent="0.2">
      <c r="E4334" t="str">
        <f>"32113"</f>
        <v>32113</v>
      </c>
      <c r="H4334" t="s">
        <v>3215</v>
      </c>
    </row>
    <row r="4335" spans="5:8" x14ac:dyDescent="0.2">
      <c r="F4335" t="str">
        <f>"32113.1"</f>
        <v>32113.1</v>
      </c>
      <c r="H4335" t="s">
        <v>3216</v>
      </c>
    </row>
    <row r="4336" spans="5:8" x14ac:dyDescent="0.2">
      <c r="G4336" t="str">
        <f>"32113.10"</f>
        <v>32113.10</v>
      </c>
      <c r="H4336" t="s">
        <v>3216</v>
      </c>
    </row>
    <row r="4337" spans="3:8" x14ac:dyDescent="0.2">
      <c r="F4337" t="str">
        <f>"32113.2"</f>
        <v>32113.2</v>
      </c>
      <c r="H4337" t="s">
        <v>3217</v>
      </c>
    </row>
    <row r="4338" spans="3:8" x14ac:dyDescent="0.2">
      <c r="G4338" t="str">
        <f>"32113.20"</f>
        <v>32113.20</v>
      </c>
      <c r="H4338" t="s">
        <v>3217</v>
      </c>
    </row>
    <row r="4339" spans="3:8" x14ac:dyDescent="0.2">
      <c r="F4339" t="str">
        <f>"32113.9"</f>
        <v>32113.9</v>
      </c>
      <c r="H4339" t="s">
        <v>3218</v>
      </c>
    </row>
    <row r="4340" spans="3:8" x14ac:dyDescent="0.2">
      <c r="G4340" t="str">
        <f>"32113.90"</f>
        <v>32113.90</v>
      </c>
      <c r="H4340" t="s">
        <v>3218</v>
      </c>
    </row>
    <row r="4341" spans="3:8" x14ac:dyDescent="0.2">
      <c r="D4341" t="str">
        <f>"3212"</f>
        <v>3212</v>
      </c>
      <c r="H4341" t="s">
        <v>3219</v>
      </c>
    </row>
    <row r="4342" spans="3:8" x14ac:dyDescent="0.2">
      <c r="E4342" t="str">
        <f>"32120"</f>
        <v>32120</v>
      </c>
      <c r="H4342" t="s">
        <v>3219</v>
      </c>
    </row>
    <row r="4343" spans="3:8" x14ac:dyDescent="0.2">
      <c r="F4343" t="str">
        <f>"32120.1"</f>
        <v>32120.1</v>
      </c>
      <c r="H4343" t="s">
        <v>3219</v>
      </c>
    </row>
    <row r="4344" spans="3:8" x14ac:dyDescent="0.2">
      <c r="G4344" t="str">
        <f>"32120.11"</f>
        <v>32120.11</v>
      </c>
      <c r="H4344" t="s">
        <v>3220</v>
      </c>
    </row>
    <row r="4345" spans="3:8" x14ac:dyDescent="0.2">
      <c r="G4345" t="str">
        <f>"32120.19"</f>
        <v>32120.19</v>
      </c>
      <c r="H4345" t="s">
        <v>3221</v>
      </c>
    </row>
    <row r="4346" spans="3:8" x14ac:dyDescent="0.2">
      <c r="F4346" t="str">
        <f>"32120.9"</f>
        <v>32120.9</v>
      </c>
      <c r="H4346" t="s">
        <v>3222</v>
      </c>
    </row>
    <row r="4347" spans="3:8" x14ac:dyDescent="0.2">
      <c r="G4347" t="str">
        <f>"32120.90"</f>
        <v>32120.90</v>
      </c>
      <c r="H4347" t="s">
        <v>3222</v>
      </c>
    </row>
    <row r="4348" spans="3:8" x14ac:dyDescent="0.2">
      <c r="C4348" t="str">
        <f>"322"</f>
        <v>322</v>
      </c>
      <c r="H4348" t="s">
        <v>3223</v>
      </c>
    </row>
    <row r="4349" spans="3:8" x14ac:dyDescent="0.2">
      <c r="D4349" t="str">
        <f>"3220"</f>
        <v>3220</v>
      </c>
      <c r="H4349" t="s">
        <v>3223</v>
      </c>
    </row>
    <row r="4350" spans="3:8" x14ac:dyDescent="0.2">
      <c r="E4350" t="str">
        <f>"32201"</f>
        <v>32201</v>
      </c>
      <c r="H4350" t="s">
        <v>3224</v>
      </c>
    </row>
    <row r="4351" spans="3:8" x14ac:dyDescent="0.2">
      <c r="F4351" t="str">
        <f>"32201.1"</f>
        <v>32201.1</v>
      </c>
      <c r="H4351" t="s">
        <v>3224</v>
      </c>
    </row>
    <row r="4352" spans="3:8" x14ac:dyDescent="0.2">
      <c r="G4352" t="str">
        <f>"32201.11"</f>
        <v>32201.11</v>
      </c>
      <c r="H4352" t="s">
        <v>3225</v>
      </c>
    </row>
    <row r="4353" spans="5:8" x14ac:dyDescent="0.2">
      <c r="G4353" t="str">
        <f>"32201.12"</f>
        <v>32201.12</v>
      </c>
      <c r="H4353" t="s">
        <v>3226</v>
      </c>
    </row>
    <row r="4354" spans="5:8" x14ac:dyDescent="0.2">
      <c r="G4354" t="str">
        <f>"32201.19"</f>
        <v>32201.19</v>
      </c>
      <c r="H4354" t="s">
        <v>3227</v>
      </c>
    </row>
    <row r="4355" spans="5:8" x14ac:dyDescent="0.2">
      <c r="F4355" t="str">
        <f>"32201.2"</f>
        <v>32201.2</v>
      </c>
      <c r="H4355" t="s">
        <v>3228</v>
      </c>
    </row>
    <row r="4356" spans="5:8" x14ac:dyDescent="0.2">
      <c r="G4356" t="str">
        <f>"32201.20"</f>
        <v>32201.20</v>
      </c>
      <c r="H4356" t="s">
        <v>3228</v>
      </c>
    </row>
    <row r="4357" spans="5:8" x14ac:dyDescent="0.2">
      <c r="F4357" t="str">
        <f>"32201.9"</f>
        <v>32201.9</v>
      </c>
      <c r="H4357" t="s">
        <v>3229</v>
      </c>
    </row>
    <row r="4358" spans="5:8" x14ac:dyDescent="0.2">
      <c r="G4358" t="str">
        <f>"32201.90"</f>
        <v>32201.90</v>
      </c>
      <c r="H4358" t="s">
        <v>3229</v>
      </c>
    </row>
    <row r="4359" spans="5:8" x14ac:dyDescent="0.2">
      <c r="E4359" t="str">
        <f>"32209"</f>
        <v>32209</v>
      </c>
      <c r="H4359" t="s">
        <v>3230</v>
      </c>
    </row>
    <row r="4360" spans="5:8" x14ac:dyDescent="0.2">
      <c r="F4360" t="str">
        <f>"32209.1"</f>
        <v>32209.1</v>
      </c>
      <c r="H4360" t="s">
        <v>3230</v>
      </c>
    </row>
    <row r="4361" spans="5:8" x14ac:dyDescent="0.2">
      <c r="G4361" t="str">
        <f>"32209.11"</f>
        <v>32209.11</v>
      </c>
      <c r="H4361" t="s">
        <v>3231</v>
      </c>
    </row>
    <row r="4362" spans="5:8" x14ac:dyDescent="0.2">
      <c r="G4362" t="str">
        <f>"32209.12"</f>
        <v>32209.12</v>
      </c>
      <c r="H4362" t="s">
        <v>3232</v>
      </c>
    </row>
    <row r="4363" spans="5:8" x14ac:dyDescent="0.2">
      <c r="G4363" t="str">
        <f>"32209.13"</f>
        <v>32209.13</v>
      </c>
      <c r="H4363" t="s">
        <v>3233</v>
      </c>
    </row>
    <row r="4364" spans="5:8" x14ac:dyDescent="0.2">
      <c r="G4364" t="str">
        <f>"32209.14"</f>
        <v>32209.14</v>
      </c>
      <c r="H4364" t="s">
        <v>3234</v>
      </c>
    </row>
    <row r="4365" spans="5:8" x14ac:dyDescent="0.2">
      <c r="G4365" t="str">
        <f>"32209.15"</f>
        <v>32209.15</v>
      </c>
      <c r="H4365" t="s">
        <v>3235</v>
      </c>
    </row>
    <row r="4366" spans="5:8" x14ac:dyDescent="0.2">
      <c r="G4366" t="str">
        <f>"32209.19"</f>
        <v>32209.19</v>
      </c>
      <c r="H4366" t="s">
        <v>3236</v>
      </c>
    </row>
    <row r="4367" spans="5:8" x14ac:dyDescent="0.2">
      <c r="F4367" t="str">
        <f>"32209.2"</f>
        <v>32209.2</v>
      </c>
      <c r="H4367" t="s">
        <v>3237</v>
      </c>
    </row>
    <row r="4368" spans="5:8" x14ac:dyDescent="0.2">
      <c r="G4368" t="str">
        <f>"32209.20"</f>
        <v>32209.20</v>
      </c>
      <c r="H4368" t="s">
        <v>3237</v>
      </c>
    </row>
    <row r="4369" spans="3:8" x14ac:dyDescent="0.2">
      <c r="F4369" t="str">
        <f>"32209.9"</f>
        <v>32209.9</v>
      </c>
      <c r="H4369" t="s">
        <v>3238</v>
      </c>
    </row>
    <row r="4370" spans="3:8" x14ac:dyDescent="0.2">
      <c r="G4370" t="str">
        <f>"32209.90"</f>
        <v>32209.90</v>
      </c>
      <c r="H4370" t="s">
        <v>3238</v>
      </c>
    </row>
    <row r="4371" spans="3:8" x14ac:dyDescent="0.2">
      <c r="C4371" t="str">
        <f>"323"</f>
        <v>323</v>
      </c>
      <c r="H4371" t="s">
        <v>3239</v>
      </c>
    </row>
    <row r="4372" spans="3:8" x14ac:dyDescent="0.2">
      <c r="D4372" t="str">
        <f>"3230"</f>
        <v>3230</v>
      </c>
      <c r="H4372" t="s">
        <v>3239</v>
      </c>
    </row>
    <row r="4373" spans="3:8" x14ac:dyDescent="0.2">
      <c r="E4373" t="str">
        <f>"32301"</f>
        <v>32301</v>
      </c>
      <c r="H4373" t="s">
        <v>3240</v>
      </c>
    </row>
    <row r="4374" spans="3:8" x14ac:dyDescent="0.2">
      <c r="F4374" t="str">
        <f>"32301.1"</f>
        <v>32301.1</v>
      </c>
      <c r="H4374" t="s">
        <v>3241</v>
      </c>
    </row>
    <row r="4375" spans="3:8" x14ac:dyDescent="0.2">
      <c r="G4375" t="str">
        <f>"32301.10"</f>
        <v>32301.10</v>
      </c>
      <c r="H4375" t="s">
        <v>3241</v>
      </c>
    </row>
    <row r="4376" spans="3:8" x14ac:dyDescent="0.2">
      <c r="F4376" t="str">
        <f>"32301.9"</f>
        <v>32301.9</v>
      </c>
      <c r="H4376" t="s">
        <v>3242</v>
      </c>
    </row>
    <row r="4377" spans="3:8" x14ac:dyDescent="0.2">
      <c r="G4377" t="str">
        <f>"32301.90"</f>
        <v>32301.90</v>
      </c>
      <c r="H4377" t="s">
        <v>3242</v>
      </c>
    </row>
    <row r="4378" spans="3:8" x14ac:dyDescent="0.2">
      <c r="E4378" t="str">
        <f>"32302"</f>
        <v>32302</v>
      </c>
      <c r="H4378" t="s">
        <v>3243</v>
      </c>
    </row>
    <row r="4379" spans="3:8" x14ac:dyDescent="0.2">
      <c r="F4379" t="str">
        <f>"32302.1"</f>
        <v>32302.1</v>
      </c>
      <c r="H4379" t="s">
        <v>3244</v>
      </c>
    </row>
    <row r="4380" spans="3:8" x14ac:dyDescent="0.2">
      <c r="G4380" t="str">
        <f>"32302.10"</f>
        <v>32302.10</v>
      </c>
      <c r="H4380" t="s">
        <v>3244</v>
      </c>
    </row>
    <row r="4381" spans="3:8" x14ac:dyDescent="0.2">
      <c r="F4381" t="str">
        <f>"32302.9"</f>
        <v>32302.9</v>
      </c>
      <c r="H4381" t="s">
        <v>3245</v>
      </c>
    </row>
    <row r="4382" spans="3:8" x14ac:dyDescent="0.2">
      <c r="G4382" t="str">
        <f>"32302.90"</f>
        <v>32302.90</v>
      </c>
      <c r="H4382" t="s">
        <v>3245</v>
      </c>
    </row>
    <row r="4383" spans="3:8" x14ac:dyDescent="0.2">
      <c r="E4383" t="str">
        <f>"32303"</f>
        <v>32303</v>
      </c>
      <c r="H4383" t="s">
        <v>3246</v>
      </c>
    </row>
    <row r="4384" spans="3:8" x14ac:dyDescent="0.2">
      <c r="F4384" t="str">
        <f>"32303.1"</f>
        <v>32303.1</v>
      </c>
      <c r="H4384" t="s">
        <v>3247</v>
      </c>
    </row>
    <row r="4385" spans="3:8" x14ac:dyDescent="0.2">
      <c r="G4385" t="str">
        <f>"32303.10"</f>
        <v>32303.10</v>
      </c>
      <c r="H4385" t="s">
        <v>3247</v>
      </c>
    </row>
    <row r="4386" spans="3:8" x14ac:dyDescent="0.2">
      <c r="F4386" t="str">
        <f>"32303.9"</f>
        <v>32303.9</v>
      </c>
      <c r="H4386" t="s">
        <v>3248</v>
      </c>
    </row>
    <row r="4387" spans="3:8" x14ac:dyDescent="0.2">
      <c r="G4387" t="str">
        <f>"32303.90"</f>
        <v>32303.90</v>
      </c>
      <c r="H4387" t="s">
        <v>3248</v>
      </c>
    </row>
    <row r="4388" spans="3:8" x14ac:dyDescent="0.2">
      <c r="E4388" t="str">
        <f>"32309"</f>
        <v>32309</v>
      </c>
      <c r="H4388" t="s">
        <v>3249</v>
      </c>
    </row>
    <row r="4389" spans="3:8" x14ac:dyDescent="0.2">
      <c r="F4389" t="str">
        <f>"32309.1"</f>
        <v>32309.1</v>
      </c>
      <c r="H4389" t="s">
        <v>3250</v>
      </c>
    </row>
    <row r="4390" spans="3:8" x14ac:dyDescent="0.2">
      <c r="G4390" t="str">
        <f>"32309.10"</f>
        <v>32309.10</v>
      </c>
      <c r="H4390" t="s">
        <v>3250</v>
      </c>
    </row>
    <row r="4391" spans="3:8" x14ac:dyDescent="0.2">
      <c r="F4391" t="str">
        <f>"32309.2"</f>
        <v>32309.2</v>
      </c>
      <c r="H4391" t="s">
        <v>3251</v>
      </c>
    </row>
    <row r="4392" spans="3:8" x14ac:dyDescent="0.2">
      <c r="G4392" t="str">
        <f>"32309.21"</f>
        <v>32309.21</v>
      </c>
      <c r="H4392" t="s">
        <v>3252</v>
      </c>
    </row>
    <row r="4393" spans="3:8" x14ac:dyDescent="0.2">
      <c r="G4393" t="str">
        <f>"32309.29"</f>
        <v>32309.29</v>
      </c>
      <c r="H4393" t="s">
        <v>3253</v>
      </c>
    </row>
    <row r="4394" spans="3:8" x14ac:dyDescent="0.2">
      <c r="F4394" t="str">
        <f>"32309.9"</f>
        <v>32309.9</v>
      </c>
      <c r="H4394" t="s">
        <v>3254</v>
      </c>
    </row>
    <row r="4395" spans="3:8" x14ac:dyDescent="0.2">
      <c r="G4395" t="str">
        <f>"32309.90"</f>
        <v>32309.90</v>
      </c>
      <c r="H4395" t="s">
        <v>3254</v>
      </c>
    </row>
    <row r="4396" spans="3:8" x14ac:dyDescent="0.2">
      <c r="C4396" t="str">
        <f>"324"</f>
        <v>324</v>
      </c>
      <c r="H4396" t="s">
        <v>3255</v>
      </c>
    </row>
    <row r="4397" spans="3:8" x14ac:dyDescent="0.2">
      <c r="D4397" t="str">
        <f>"3240"</f>
        <v>3240</v>
      </c>
      <c r="H4397" t="s">
        <v>3255</v>
      </c>
    </row>
    <row r="4398" spans="3:8" x14ac:dyDescent="0.2">
      <c r="E4398" t="str">
        <f>"32401"</f>
        <v>32401</v>
      </c>
      <c r="H4398" t="s">
        <v>3256</v>
      </c>
    </row>
    <row r="4399" spans="3:8" x14ac:dyDescent="0.2">
      <c r="F4399" t="str">
        <f>"32401.1"</f>
        <v>32401.1</v>
      </c>
      <c r="H4399" t="s">
        <v>3257</v>
      </c>
    </row>
    <row r="4400" spans="3:8" x14ac:dyDescent="0.2">
      <c r="G4400" t="str">
        <f>"32401.10"</f>
        <v>32401.10</v>
      </c>
      <c r="H4400" t="s">
        <v>3257</v>
      </c>
    </row>
    <row r="4401" spans="5:8" x14ac:dyDescent="0.2">
      <c r="F4401" t="str">
        <f>"32401.9"</f>
        <v>32401.9</v>
      </c>
      <c r="H4401" t="s">
        <v>3258</v>
      </c>
    </row>
    <row r="4402" spans="5:8" x14ac:dyDescent="0.2">
      <c r="G4402" t="str">
        <f>"32401.90"</f>
        <v>32401.90</v>
      </c>
      <c r="H4402" t="s">
        <v>3258</v>
      </c>
    </row>
    <row r="4403" spans="5:8" x14ac:dyDescent="0.2">
      <c r="E4403" t="str">
        <f>"32402"</f>
        <v>32402</v>
      </c>
      <c r="H4403" t="s">
        <v>3259</v>
      </c>
    </row>
    <row r="4404" spans="5:8" x14ac:dyDescent="0.2">
      <c r="F4404" t="str">
        <f>"32402.1"</f>
        <v>32402.1</v>
      </c>
      <c r="H4404" t="s">
        <v>3260</v>
      </c>
    </row>
    <row r="4405" spans="5:8" x14ac:dyDescent="0.2">
      <c r="G4405" t="str">
        <f>"32402.11"</f>
        <v>32402.11</v>
      </c>
      <c r="H4405" t="s">
        <v>3261</v>
      </c>
    </row>
    <row r="4406" spans="5:8" x14ac:dyDescent="0.2">
      <c r="G4406" t="str">
        <f>"32402.12"</f>
        <v>32402.12</v>
      </c>
      <c r="H4406" t="s">
        <v>3262</v>
      </c>
    </row>
    <row r="4407" spans="5:8" x14ac:dyDescent="0.2">
      <c r="G4407" t="str">
        <f>"32402.13"</f>
        <v>32402.13</v>
      </c>
      <c r="H4407" t="s">
        <v>3263</v>
      </c>
    </row>
    <row r="4408" spans="5:8" x14ac:dyDescent="0.2">
      <c r="F4408" t="str">
        <f>"32402.9"</f>
        <v>32402.9</v>
      </c>
      <c r="H4408" t="s">
        <v>3264</v>
      </c>
    </row>
    <row r="4409" spans="5:8" x14ac:dyDescent="0.2">
      <c r="G4409" t="str">
        <f>"32402.90"</f>
        <v>32402.90</v>
      </c>
      <c r="H4409" t="s">
        <v>3264</v>
      </c>
    </row>
    <row r="4410" spans="5:8" x14ac:dyDescent="0.2">
      <c r="E4410" t="str">
        <f>"32409"</f>
        <v>32409</v>
      </c>
      <c r="H4410" t="s">
        <v>3265</v>
      </c>
    </row>
    <row r="4411" spans="5:8" x14ac:dyDescent="0.2">
      <c r="F4411" t="str">
        <f>"32409.1"</f>
        <v>32409.1</v>
      </c>
      <c r="H4411" t="s">
        <v>3266</v>
      </c>
    </row>
    <row r="4412" spans="5:8" x14ac:dyDescent="0.2">
      <c r="G4412" t="str">
        <f>"32409.10"</f>
        <v>32409.10</v>
      </c>
      <c r="H4412" t="s">
        <v>3267</v>
      </c>
    </row>
    <row r="4413" spans="5:8" x14ac:dyDescent="0.2">
      <c r="F4413" t="str">
        <f>"32409.2"</f>
        <v>32409.2</v>
      </c>
      <c r="H4413" t="s">
        <v>3265</v>
      </c>
    </row>
    <row r="4414" spans="5:8" x14ac:dyDescent="0.2">
      <c r="G4414" t="str">
        <f>"32409.21"</f>
        <v>32409.21</v>
      </c>
      <c r="H4414" t="s">
        <v>3268</v>
      </c>
    </row>
    <row r="4415" spans="5:8" x14ac:dyDescent="0.2">
      <c r="G4415" t="str">
        <f>"32409.22"</f>
        <v>32409.22</v>
      </c>
      <c r="H4415" t="s">
        <v>3269</v>
      </c>
    </row>
    <row r="4416" spans="5:8" x14ac:dyDescent="0.2">
      <c r="G4416" t="str">
        <f>"32409.23"</f>
        <v>32409.23</v>
      </c>
      <c r="H4416" t="s">
        <v>3270</v>
      </c>
    </row>
    <row r="4417" spans="3:8" x14ac:dyDescent="0.2">
      <c r="G4417" t="str">
        <f>"32409.29"</f>
        <v>32409.29</v>
      </c>
      <c r="H4417" t="s">
        <v>3271</v>
      </c>
    </row>
    <row r="4418" spans="3:8" x14ac:dyDescent="0.2">
      <c r="F4418" t="str">
        <f>"32409.9"</f>
        <v>32409.9</v>
      </c>
      <c r="H4418" t="s">
        <v>3272</v>
      </c>
    </row>
    <row r="4419" spans="3:8" x14ac:dyDescent="0.2">
      <c r="G4419" t="str">
        <f>"32409.90"</f>
        <v>32409.90</v>
      </c>
      <c r="H4419" t="s">
        <v>3272</v>
      </c>
    </row>
    <row r="4420" spans="3:8" x14ac:dyDescent="0.2">
      <c r="C4420" t="str">
        <f>"325"</f>
        <v>325</v>
      </c>
      <c r="H4420" t="s">
        <v>3273</v>
      </c>
    </row>
    <row r="4421" spans="3:8" x14ac:dyDescent="0.2">
      <c r="D4421" t="str">
        <f>"3250"</f>
        <v>3250</v>
      </c>
      <c r="H4421" t="s">
        <v>3273</v>
      </c>
    </row>
    <row r="4422" spans="3:8" x14ac:dyDescent="0.2">
      <c r="E4422" t="str">
        <f>"32501"</f>
        <v>32501</v>
      </c>
      <c r="H4422" t="s">
        <v>3274</v>
      </c>
    </row>
    <row r="4423" spans="3:8" x14ac:dyDescent="0.2">
      <c r="F4423" t="str">
        <f>"32501.1"</f>
        <v>32501.1</v>
      </c>
      <c r="H4423" t="s">
        <v>3275</v>
      </c>
    </row>
    <row r="4424" spans="3:8" x14ac:dyDescent="0.2">
      <c r="G4424" t="str">
        <f>"32501.11"</f>
        <v>32501.11</v>
      </c>
      <c r="H4424" t="s">
        <v>3276</v>
      </c>
    </row>
    <row r="4425" spans="3:8" x14ac:dyDescent="0.2">
      <c r="G4425" t="str">
        <f>"32501.19"</f>
        <v>32501.19</v>
      </c>
      <c r="H4425" t="s">
        <v>3277</v>
      </c>
    </row>
    <row r="4426" spans="3:8" x14ac:dyDescent="0.2">
      <c r="F4426" t="str">
        <f>"32501.2"</f>
        <v>32501.2</v>
      </c>
      <c r="H4426" t="s">
        <v>3278</v>
      </c>
    </row>
    <row r="4427" spans="3:8" x14ac:dyDescent="0.2">
      <c r="G4427" t="str">
        <f>"32501.21"</f>
        <v>32501.21</v>
      </c>
      <c r="H4427" t="s">
        <v>3279</v>
      </c>
    </row>
    <row r="4428" spans="3:8" x14ac:dyDescent="0.2">
      <c r="G4428" t="str">
        <f>"32501.22"</f>
        <v>32501.22</v>
      </c>
      <c r="H4428" t="s">
        <v>3280</v>
      </c>
    </row>
    <row r="4429" spans="3:8" x14ac:dyDescent="0.2">
      <c r="G4429" t="str">
        <f>"32501.23"</f>
        <v>32501.23</v>
      </c>
      <c r="H4429" t="s">
        <v>3281</v>
      </c>
    </row>
    <row r="4430" spans="3:8" x14ac:dyDescent="0.2">
      <c r="F4430" t="str">
        <f>"32501.3"</f>
        <v>32501.3</v>
      </c>
      <c r="H4430" t="s">
        <v>3282</v>
      </c>
    </row>
    <row r="4431" spans="3:8" x14ac:dyDescent="0.2">
      <c r="G4431" t="str">
        <f>"32501.30"</f>
        <v>32501.30</v>
      </c>
      <c r="H4431" t="s">
        <v>3282</v>
      </c>
    </row>
    <row r="4432" spans="3:8" x14ac:dyDescent="0.2">
      <c r="F4432" t="str">
        <f>"32501.4"</f>
        <v>32501.4</v>
      </c>
      <c r="H4432" t="s">
        <v>3283</v>
      </c>
    </row>
    <row r="4433" spans="5:8" x14ac:dyDescent="0.2">
      <c r="G4433" t="str">
        <f>"32501.41"</f>
        <v>32501.41</v>
      </c>
      <c r="H4433" t="s">
        <v>3284</v>
      </c>
    </row>
    <row r="4434" spans="5:8" x14ac:dyDescent="0.2">
      <c r="G4434" t="str">
        <f>"32501.42"</f>
        <v>32501.42</v>
      </c>
      <c r="H4434" t="s">
        <v>3285</v>
      </c>
    </row>
    <row r="4435" spans="5:8" x14ac:dyDescent="0.2">
      <c r="G4435" t="str">
        <f>"32501.43"</f>
        <v>32501.43</v>
      </c>
      <c r="H4435" t="s">
        <v>3286</v>
      </c>
    </row>
    <row r="4436" spans="5:8" x14ac:dyDescent="0.2">
      <c r="F4436" t="str">
        <f>"32501.5"</f>
        <v>32501.5</v>
      </c>
      <c r="H4436" t="s">
        <v>3287</v>
      </c>
    </row>
    <row r="4437" spans="5:8" x14ac:dyDescent="0.2">
      <c r="G4437" t="str">
        <f>"32501.50"</f>
        <v>32501.50</v>
      </c>
      <c r="H4437" t="s">
        <v>3287</v>
      </c>
    </row>
    <row r="4438" spans="5:8" x14ac:dyDescent="0.2">
      <c r="F4438" t="str">
        <f>"32501.9"</f>
        <v>32501.9</v>
      </c>
      <c r="H4438" t="s">
        <v>3288</v>
      </c>
    </row>
    <row r="4439" spans="5:8" x14ac:dyDescent="0.2">
      <c r="G4439" t="str">
        <f>"32501.90"</f>
        <v>32501.90</v>
      </c>
      <c r="H4439" t="s">
        <v>3288</v>
      </c>
    </row>
    <row r="4440" spans="5:8" x14ac:dyDescent="0.2">
      <c r="E4440" t="str">
        <f>"32502"</f>
        <v>32502</v>
      </c>
      <c r="H4440" t="s">
        <v>3289</v>
      </c>
    </row>
    <row r="4441" spans="5:8" x14ac:dyDescent="0.2">
      <c r="F4441" t="str">
        <f>"32502.1"</f>
        <v>32502.1</v>
      </c>
      <c r="H4441" t="s">
        <v>3290</v>
      </c>
    </row>
    <row r="4442" spans="5:8" x14ac:dyDescent="0.2">
      <c r="G4442" t="str">
        <f>"32502.11"</f>
        <v>32502.11</v>
      </c>
      <c r="H4442" t="s">
        <v>3291</v>
      </c>
    </row>
    <row r="4443" spans="5:8" x14ac:dyDescent="0.2">
      <c r="G4443" t="str">
        <f>"32502.12"</f>
        <v>32502.12</v>
      </c>
      <c r="H4443" t="s">
        <v>3292</v>
      </c>
    </row>
    <row r="4444" spans="5:8" x14ac:dyDescent="0.2">
      <c r="G4444" t="str">
        <f>"32502.13"</f>
        <v>32502.13</v>
      </c>
      <c r="H4444" t="s">
        <v>3293</v>
      </c>
    </row>
    <row r="4445" spans="5:8" x14ac:dyDescent="0.2">
      <c r="G4445" t="str">
        <f>"32502.14"</f>
        <v>32502.14</v>
      </c>
      <c r="H4445" t="s">
        <v>3294</v>
      </c>
    </row>
    <row r="4446" spans="5:8" x14ac:dyDescent="0.2">
      <c r="G4446" t="str">
        <f>"32502.15"</f>
        <v>32502.15</v>
      </c>
      <c r="H4446" t="s">
        <v>3295</v>
      </c>
    </row>
    <row r="4447" spans="5:8" x14ac:dyDescent="0.2">
      <c r="F4447" t="str">
        <f>"32502.9"</f>
        <v>32502.9</v>
      </c>
      <c r="H4447" t="s">
        <v>3296</v>
      </c>
    </row>
    <row r="4448" spans="5:8" x14ac:dyDescent="0.2">
      <c r="G4448" t="str">
        <f>"32502.90"</f>
        <v>32502.90</v>
      </c>
      <c r="H4448" t="s">
        <v>3296</v>
      </c>
    </row>
    <row r="4449" spans="3:8" x14ac:dyDescent="0.2">
      <c r="C4449" t="str">
        <f>"329"</f>
        <v>329</v>
      </c>
      <c r="H4449" t="s">
        <v>3297</v>
      </c>
    </row>
    <row r="4450" spans="3:8" x14ac:dyDescent="0.2">
      <c r="D4450" t="str">
        <f>"3290"</f>
        <v>3290</v>
      </c>
      <c r="H4450" t="s">
        <v>3297</v>
      </c>
    </row>
    <row r="4451" spans="3:8" x14ac:dyDescent="0.2">
      <c r="E4451" t="str">
        <f>"32901"</f>
        <v>32901</v>
      </c>
      <c r="H4451" t="s">
        <v>3298</v>
      </c>
    </row>
    <row r="4452" spans="3:8" x14ac:dyDescent="0.2">
      <c r="F4452" t="str">
        <f>"32901.1"</f>
        <v>32901.1</v>
      </c>
      <c r="H4452" t="s">
        <v>3298</v>
      </c>
    </row>
    <row r="4453" spans="3:8" x14ac:dyDescent="0.2">
      <c r="G4453" t="str">
        <f>"32901.11"</f>
        <v>32901.11</v>
      </c>
      <c r="H4453" t="s">
        <v>3299</v>
      </c>
    </row>
    <row r="4454" spans="3:8" x14ac:dyDescent="0.2">
      <c r="G4454" t="str">
        <f>"32901.12"</f>
        <v>32901.12</v>
      </c>
      <c r="H4454" t="s">
        <v>3300</v>
      </c>
    </row>
    <row r="4455" spans="3:8" x14ac:dyDescent="0.2">
      <c r="G4455" t="str">
        <f>"32901.19"</f>
        <v>32901.19</v>
      </c>
      <c r="H4455" t="s">
        <v>3301</v>
      </c>
    </row>
    <row r="4456" spans="3:8" x14ac:dyDescent="0.2">
      <c r="F4456" t="str">
        <f>"32901.9"</f>
        <v>32901.9</v>
      </c>
      <c r="H4456" t="s">
        <v>3302</v>
      </c>
    </row>
    <row r="4457" spans="3:8" x14ac:dyDescent="0.2">
      <c r="G4457" t="str">
        <f>"32901.90"</f>
        <v>32901.90</v>
      </c>
      <c r="H4457" t="s">
        <v>3302</v>
      </c>
    </row>
    <row r="4458" spans="3:8" x14ac:dyDescent="0.2">
      <c r="E4458" t="str">
        <f>"32902"</f>
        <v>32902</v>
      </c>
      <c r="H4458" t="s">
        <v>3303</v>
      </c>
    </row>
    <row r="4459" spans="3:8" x14ac:dyDescent="0.2">
      <c r="F4459" t="str">
        <f>"32902.1"</f>
        <v>32902.1</v>
      </c>
      <c r="H4459" t="s">
        <v>3303</v>
      </c>
    </row>
    <row r="4460" spans="3:8" x14ac:dyDescent="0.2">
      <c r="G4460" t="str">
        <f>"32902.11"</f>
        <v>32902.11</v>
      </c>
      <c r="H4460" t="s">
        <v>3304</v>
      </c>
    </row>
    <row r="4461" spans="3:8" x14ac:dyDescent="0.2">
      <c r="G4461" t="str">
        <f>"32902.12"</f>
        <v>32902.12</v>
      </c>
      <c r="H4461" t="s">
        <v>3305</v>
      </c>
    </row>
    <row r="4462" spans="3:8" x14ac:dyDescent="0.2">
      <c r="G4462" t="str">
        <f>"32902.13"</f>
        <v>32902.13</v>
      </c>
      <c r="H4462" t="s">
        <v>3306</v>
      </c>
    </row>
    <row r="4463" spans="3:8" x14ac:dyDescent="0.2">
      <c r="G4463" t="str">
        <f>"32902.14"</f>
        <v>32902.14</v>
      </c>
      <c r="H4463" t="s">
        <v>3307</v>
      </c>
    </row>
    <row r="4464" spans="3:8" x14ac:dyDescent="0.2">
      <c r="G4464" t="str">
        <f>"32902.15"</f>
        <v>32902.15</v>
      </c>
      <c r="H4464" t="s">
        <v>3308</v>
      </c>
    </row>
    <row r="4465" spans="5:8" x14ac:dyDescent="0.2">
      <c r="F4465" t="str">
        <f>"32902.9"</f>
        <v>32902.9</v>
      </c>
      <c r="H4465" t="s">
        <v>3309</v>
      </c>
    </row>
    <row r="4466" spans="5:8" x14ac:dyDescent="0.2">
      <c r="G4466" t="str">
        <f>"32902.90"</f>
        <v>32902.90</v>
      </c>
      <c r="H4466" t="s">
        <v>3309</v>
      </c>
    </row>
    <row r="4467" spans="5:8" x14ac:dyDescent="0.2">
      <c r="E4467" t="str">
        <f>"32903"</f>
        <v>32903</v>
      </c>
      <c r="H4467" t="s">
        <v>3310</v>
      </c>
    </row>
    <row r="4468" spans="5:8" x14ac:dyDescent="0.2">
      <c r="F4468" t="str">
        <f>"32903.1"</f>
        <v>32903.1</v>
      </c>
      <c r="H4468" t="s">
        <v>3310</v>
      </c>
    </row>
    <row r="4469" spans="5:8" x14ac:dyDescent="0.2">
      <c r="G4469" t="str">
        <f>"32903.11"</f>
        <v>32903.11</v>
      </c>
      <c r="H4469" t="s">
        <v>3311</v>
      </c>
    </row>
    <row r="4470" spans="5:8" x14ac:dyDescent="0.2">
      <c r="G4470" t="str">
        <f>"32903.12"</f>
        <v>32903.12</v>
      </c>
      <c r="H4470" t="s">
        <v>3312</v>
      </c>
    </row>
    <row r="4471" spans="5:8" x14ac:dyDescent="0.2">
      <c r="G4471" t="str">
        <f>"32903.19"</f>
        <v>32903.19</v>
      </c>
      <c r="H4471" t="s">
        <v>3313</v>
      </c>
    </row>
    <row r="4472" spans="5:8" x14ac:dyDescent="0.2">
      <c r="F4472" t="str">
        <f>"32903.9"</f>
        <v>32903.9</v>
      </c>
      <c r="H4472" t="s">
        <v>3314</v>
      </c>
    </row>
    <row r="4473" spans="5:8" x14ac:dyDescent="0.2">
      <c r="G4473" t="str">
        <f>"32903.90"</f>
        <v>32903.90</v>
      </c>
      <c r="H4473" t="s">
        <v>3314</v>
      </c>
    </row>
    <row r="4474" spans="5:8" x14ac:dyDescent="0.2">
      <c r="E4474" t="str">
        <f>"32904"</f>
        <v>32904</v>
      </c>
      <c r="H4474" t="s">
        <v>3315</v>
      </c>
    </row>
    <row r="4475" spans="5:8" x14ac:dyDescent="0.2">
      <c r="F4475" t="str">
        <f>"32904.1"</f>
        <v>32904.1</v>
      </c>
      <c r="H4475" t="s">
        <v>3316</v>
      </c>
    </row>
    <row r="4476" spans="5:8" x14ac:dyDescent="0.2">
      <c r="G4476" t="str">
        <f>"32904.10"</f>
        <v>32904.10</v>
      </c>
      <c r="H4476" t="s">
        <v>3316</v>
      </c>
    </row>
    <row r="4477" spans="5:8" x14ac:dyDescent="0.2">
      <c r="F4477" t="str">
        <f>"32904.9"</f>
        <v>32904.9</v>
      </c>
      <c r="H4477" t="s">
        <v>3317</v>
      </c>
    </row>
    <row r="4478" spans="5:8" x14ac:dyDescent="0.2">
      <c r="G4478" t="str">
        <f>"32904.90"</f>
        <v>32904.90</v>
      </c>
      <c r="H4478" t="s">
        <v>3317</v>
      </c>
    </row>
    <row r="4479" spans="5:8" x14ac:dyDescent="0.2">
      <c r="E4479" t="str">
        <f>"32909"</f>
        <v>32909</v>
      </c>
      <c r="H4479" t="s">
        <v>3297</v>
      </c>
    </row>
    <row r="4480" spans="5:8" x14ac:dyDescent="0.2">
      <c r="F4480" t="str">
        <f>"32909.1"</f>
        <v>32909.1</v>
      </c>
      <c r="H4480" t="s">
        <v>3318</v>
      </c>
    </row>
    <row r="4481" spans="6:8" x14ac:dyDescent="0.2">
      <c r="G4481" t="str">
        <f>"32909.11"</f>
        <v>32909.11</v>
      </c>
      <c r="H4481" t="s">
        <v>3319</v>
      </c>
    </row>
    <row r="4482" spans="6:8" x14ac:dyDescent="0.2">
      <c r="G4482" t="str">
        <f>"32909.12"</f>
        <v>32909.12</v>
      </c>
      <c r="H4482" t="s">
        <v>3320</v>
      </c>
    </row>
    <row r="4483" spans="6:8" x14ac:dyDescent="0.2">
      <c r="G4483" t="str">
        <f>"32909.13"</f>
        <v>32909.13</v>
      </c>
      <c r="H4483" t="s">
        <v>3321</v>
      </c>
    </row>
    <row r="4484" spans="6:8" x14ac:dyDescent="0.2">
      <c r="F4484" t="str">
        <f>"32909.2"</f>
        <v>32909.2</v>
      </c>
      <c r="H4484" t="s">
        <v>3322</v>
      </c>
    </row>
    <row r="4485" spans="6:8" x14ac:dyDescent="0.2">
      <c r="G4485" t="str">
        <f>"32909.20"</f>
        <v>32909.20</v>
      </c>
      <c r="H4485" t="s">
        <v>3322</v>
      </c>
    </row>
    <row r="4486" spans="6:8" x14ac:dyDescent="0.2">
      <c r="F4486" t="str">
        <f>"32909.3"</f>
        <v>32909.3</v>
      </c>
      <c r="H4486" t="s">
        <v>3323</v>
      </c>
    </row>
    <row r="4487" spans="6:8" x14ac:dyDescent="0.2">
      <c r="G4487" t="str">
        <f>"32909.31"</f>
        <v>32909.31</v>
      </c>
      <c r="H4487" t="s">
        <v>3324</v>
      </c>
    </row>
    <row r="4488" spans="6:8" x14ac:dyDescent="0.2">
      <c r="G4488" t="str">
        <f>"32909.32"</f>
        <v>32909.32</v>
      </c>
      <c r="H4488" t="s">
        <v>3325</v>
      </c>
    </row>
    <row r="4489" spans="6:8" x14ac:dyDescent="0.2">
      <c r="G4489" t="str">
        <f>"32909.33"</f>
        <v>32909.33</v>
      </c>
      <c r="H4489" t="s">
        <v>3326</v>
      </c>
    </row>
    <row r="4490" spans="6:8" x14ac:dyDescent="0.2">
      <c r="F4490" t="str">
        <f>"32909.4"</f>
        <v>32909.4</v>
      </c>
      <c r="H4490" t="s">
        <v>3297</v>
      </c>
    </row>
    <row r="4491" spans="6:8" x14ac:dyDescent="0.2">
      <c r="G4491" t="str">
        <f>"32909.41"</f>
        <v>32909.41</v>
      </c>
      <c r="H4491" t="s">
        <v>3327</v>
      </c>
    </row>
    <row r="4492" spans="6:8" x14ac:dyDescent="0.2">
      <c r="G4492" t="str">
        <f>"32909.42"</f>
        <v>32909.42</v>
      </c>
      <c r="H4492" t="s">
        <v>3328</v>
      </c>
    </row>
    <row r="4493" spans="6:8" x14ac:dyDescent="0.2">
      <c r="G4493" t="str">
        <f>"32909.43"</f>
        <v>32909.43</v>
      </c>
      <c r="H4493" t="s">
        <v>3329</v>
      </c>
    </row>
    <row r="4494" spans="6:8" x14ac:dyDescent="0.2">
      <c r="G4494" t="str">
        <f>"32909.44"</f>
        <v>32909.44</v>
      </c>
      <c r="H4494" t="s">
        <v>3330</v>
      </c>
    </row>
    <row r="4495" spans="6:8" x14ac:dyDescent="0.2">
      <c r="G4495" t="str">
        <f>"32909.49"</f>
        <v>32909.49</v>
      </c>
      <c r="H4495" t="s">
        <v>3331</v>
      </c>
    </row>
    <row r="4496" spans="6:8" x14ac:dyDescent="0.2">
      <c r="F4496" t="str">
        <f>"32909.5"</f>
        <v>32909.5</v>
      </c>
      <c r="H4496" t="s">
        <v>3332</v>
      </c>
    </row>
    <row r="4497" spans="2:8" x14ac:dyDescent="0.2">
      <c r="G4497" t="str">
        <f>"32909.5"</f>
        <v>32909.5</v>
      </c>
      <c r="H4497" t="s">
        <v>3332</v>
      </c>
    </row>
    <row r="4498" spans="2:8" x14ac:dyDescent="0.2">
      <c r="F4498" t="str">
        <f>"32909.9"</f>
        <v>32909.9</v>
      </c>
      <c r="H4498" t="s">
        <v>3333</v>
      </c>
    </row>
    <row r="4499" spans="2:8" x14ac:dyDescent="0.2">
      <c r="G4499" t="str">
        <f>"32909.90"</f>
        <v>32909.90</v>
      </c>
      <c r="H4499" t="s">
        <v>3333</v>
      </c>
    </row>
    <row r="4500" spans="2:8" x14ac:dyDescent="0.2">
      <c r="B4500" t="str">
        <f>"33"</f>
        <v>33</v>
      </c>
      <c r="H4500" t="s">
        <v>3334</v>
      </c>
    </row>
    <row r="4501" spans="2:8" x14ac:dyDescent="0.2">
      <c r="C4501" t="str">
        <f>"331"</f>
        <v>331</v>
      </c>
      <c r="H4501" t="s">
        <v>3335</v>
      </c>
    </row>
    <row r="4502" spans="2:8" x14ac:dyDescent="0.2">
      <c r="D4502" t="str">
        <f>"3311"</f>
        <v>3311</v>
      </c>
      <c r="H4502" t="s">
        <v>3336</v>
      </c>
    </row>
    <row r="4503" spans="2:8" x14ac:dyDescent="0.2">
      <c r="E4503" t="str">
        <f>"33110"</f>
        <v>33110</v>
      </c>
      <c r="H4503" t="s">
        <v>3336</v>
      </c>
    </row>
    <row r="4504" spans="2:8" x14ac:dyDescent="0.2">
      <c r="F4504" t="str">
        <f>"33110.0"</f>
        <v>33110.0</v>
      </c>
      <c r="H4504" t="s">
        <v>3336</v>
      </c>
    </row>
    <row r="4505" spans="2:8" x14ac:dyDescent="0.2">
      <c r="G4505" t="str">
        <f>"33110.01"</f>
        <v>33110.01</v>
      </c>
      <c r="H4505" t="s">
        <v>3337</v>
      </c>
    </row>
    <row r="4506" spans="2:8" x14ac:dyDescent="0.2">
      <c r="G4506" t="str">
        <f>"33110.02"</f>
        <v>33110.02</v>
      </c>
      <c r="H4506" t="s">
        <v>3338</v>
      </c>
    </row>
    <row r="4507" spans="2:8" x14ac:dyDescent="0.2">
      <c r="G4507" t="str">
        <f>"33110.03"</f>
        <v>33110.03</v>
      </c>
      <c r="H4507" t="s">
        <v>3339</v>
      </c>
    </row>
    <row r="4508" spans="2:8" x14ac:dyDescent="0.2">
      <c r="G4508" t="str">
        <f>"33110.04"</f>
        <v>33110.04</v>
      </c>
      <c r="H4508" t="s">
        <v>3340</v>
      </c>
    </row>
    <row r="4509" spans="2:8" x14ac:dyDescent="0.2">
      <c r="G4509" t="str">
        <f>"33110.09"</f>
        <v>33110.09</v>
      </c>
      <c r="H4509" t="s">
        <v>3341</v>
      </c>
    </row>
    <row r="4510" spans="2:8" x14ac:dyDescent="0.2">
      <c r="D4510" t="str">
        <f>"3312"</f>
        <v>3312</v>
      </c>
      <c r="H4510" t="s">
        <v>3342</v>
      </c>
    </row>
    <row r="4511" spans="2:8" x14ac:dyDescent="0.2">
      <c r="E4511" t="str">
        <f>"33121"</f>
        <v>33121</v>
      </c>
      <c r="H4511" t="s">
        <v>3343</v>
      </c>
    </row>
    <row r="4512" spans="2:8" x14ac:dyDescent="0.2">
      <c r="F4512" t="str">
        <f>"33121.0"</f>
        <v>33121.0</v>
      </c>
      <c r="H4512" t="s">
        <v>3343</v>
      </c>
    </row>
    <row r="4513" spans="5:8" x14ac:dyDescent="0.2">
      <c r="G4513" t="str">
        <f>"33121.01"</f>
        <v>33121.01</v>
      </c>
      <c r="H4513" t="s">
        <v>3344</v>
      </c>
    </row>
    <row r="4514" spans="5:8" x14ac:dyDescent="0.2">
      <c r="G4514" t="str">
        <f>"33121.02"</f>
        <v>33121.02</v>
      </c>
      <c r="H4514" t="s">
        <v>3345</v>
      </c>
    </row>
    <row r="4515" spans="5:8" x14ac:dyDescent="0.2">
      <c r="G4515" t="str">
        <f>"33121.03"</f>
        <v>33121.03</v>
      </c>
      <c r="H4515" t="s">
        <v>3346</v>
      </c>
    </row>
    <row r="4516" spans="5:8" x14ac:dyDescent="0.2">
      <c r="G4516" t="str">
        <f>"33121.04"</f>
        <v>33121.04</v>
      </c>
      <c r="H4516" t="s">
        <v>3347</v>
      </c>
    </row>
    <row r="4517" spans="5:8" x14ac:dyDescent="0.2">
      <c r="G4517" t="str">
        <f>"33121.05"</f>
        <v>33121.05</v>
      </c>
      <c r="H4517" t="s">
        <v>3348</v>
      </c>
    </row>
    <row r="4518" spans="5:8" x14ac:dyDescent="0.2">
      <c r="G4518" t="str">
        <f>"33121.06"</f>
        <v>33121.06</v>
      </c>
      <c r="H4518" t="s">
        <v>3349</v>
      </c>
    </row>
    <row r="4519" spans="5:8" x14ac:dyDescent="0.2">
      <c r="G4519" t="str">
        <f>"33121.07"</f>
        <v>33121.07</v>
      </c>
      <c r="H4519" t="s">
        <v>3350</v>
      </c>
    </row>
    <row r="4520" spans="5:8" x14ac:dyDescent="0.2">
      <c r="G4520" t="str">
        <f>"33121.08"</f>
        <v>33121.08</v>
      </c>
      <c r="H4520" t="s">
        <v>3351</v>
      </c>
    </row>
    <row r="4521" spans="5:8" x14ac:dyDescent="0.2">
      <c r="G4521" t="str">
        <f>"33121.09"</f>
        <v>33121.09</v>
      </c>
      <c r="H4521" t="s">
        <v>3352</v>
      </c>
    </row>
    <row r="4522" spans="5:8" x14ac:dyDescent="0.2">
      <c r="E4522" t="str">
        <f>"33122"</f>
        <v>33122</v>
      </c>
      <c r="H4522" t="s">
        <v>3353</v>
      </c>
    </row>
    <row r="4523" spans="5:8" x14ac:dyDescent="0.2">
      <c r="F4523" t="str">
        <f>"33122.0"</f>
        <v>33122.0</v>
      </c>
      <c r="H4523" t="s">
        <v>3353</v>
      </c>
    </row>
    <row r="4524" spans="5:8" x14ac:dyDescent="0.2">
      <c r="G4524" t="str">
        <f>"33122.01"</f>
        <v>33122.01</v>
      </c>
      <c r="H4524" t="s">
        <v>3354</v>
      </c>
    </row>
    <row r="4525" spans="5:8" x14ac:dyDescent="0.2">
      <c r="G4525" t="str">
        <f>"33122.02"</f>
        <v>33122.02</v>
      </c>
      <c r="H4525" t="s">
        <v>3355</v>
      </c>
    </row>
    <row r="4526" spans="5:8" x14ac:dyDescent="0.2">
      <c r="G4526" t="str">
        <f>"33122.03"</f>
        <v>33122.03</v>
      </c>
      <c r="H4526" t="s">
        <v>3356</v>
      </c>
    </row>
    <row r="4527" spans="5:8" x14ac:dyDescent="0.2">
      <c r="G4527" t="str">
        <f>"33122.04"</f>
        <v>33122.04</v>
      </c>
      <c r="H4527" t="s">
        <v>3357</v>
      </c>
    </row>
    <row r="4528" spans="5:8" x14ac:dyDescent="0.2">
      <c r="G4528" t="str">
        <f>"33122.05"</f>
        <v>33122.05</v>
      </c>
      <c r="H4528" t="s">
        <v>3358</v>
      </c>
    </row>
    <row r="4529" spans="4:8" x14ac:dyDescent="0.2">
      <c r="G4529" t="str">
        <f>"33122.06"</f>
        <v>33122.06</v>
      </c>
      <c r="H4529" t="s">
        <v>3359</v>
      </c>
    </row>
    <row r="4530" spans="4:8" x14ac:dyDescent="0.2">
      <c r="G4530" t="str">
        <f>"33122.07"</f>
        <v>33122.07</v>
      </c>
      <c r="H4530" t="s">
        <v>3360</v>
      </c>
    </row>
    <row r="4531" spans="4:8" x14ac:dyDescent="0.2">
      <c r="G4531" t="str">
        <f>"33122.08"</f>
        <v>33122.08</v>
      </c>
      <c r="H4531" t="s">
        <v>3361</v>
      </c>
    </row>
    <row r="4532" spans="4:8" x14ac:dyDescent="0.2">
      <c r="G4532" t="str">
        <f>"33122.09"</f>
        <v>33122.09</v>
      </c>
      <c r="H4532" t="s">
        <v>3362</v>
      </c>
    </row>
    <row r="4533" spans="4:8" x14ac:dyDescent="0.2">
      <c r="D4533" t="str">
        <f>"3313"</f>
        <v>3313</v>
      </c>
      <c r="H4533" t="s">
        <v>3363</v>
      </c>
    </row>
    <row r="4534" spans="4:8" x14ac:dyDescent="0.2">
      <c r="E4534" t="str">
        <f>"33131"</f>
        <v>33131</v>
      </c>
      <c r="H4534" t="s">
        <v>3364</v>
      </c>
    </row>
    <row r="4535" spans="4:8" x14ac:dyDescent="0.2">
      <c r="F4535" t="str">
        <f>"33131.0"</f>
        <v>33131.0</v>
      </c>
      <c r="H4535" t="s">
        <v>3364</v>
      </c>
    </row>
    <row r="4536" spans="4:8" x14ac:dyDescent="0.2">
      <c r="G4536" t="str">
        <f>"33131.00"</f>
        <v>33131.00</v>
      </c>
      <c r="H4536" t="s">
        <v>3364</v>
      </c>
    </row>
    <row r="4537" spans="4:8" x14ac:dyDescent="0.2">
      <c r="E4537" t="str">
        <f>"33132"</f>
        <v>33132</v>
      </c>
      <c r="H4537" t="s">
        <v>3365</v>
      </c>
    </row>
    <row r="4538" spans="4:8" x14ac:dyDescent="0.2">
      <c r="F4538" t="str">
        <f>"33132.0"</f>
        <v>33132.0</v>
      </c>
      <c r="H4538" t="s">
        <v>3365</v>
      </c>
    </row>
    <row r="4539" spans="4:8" x14ac:dyDescent="0.2">
      <c r="G4539" t="str">
        <f>"33132.00"</f>
        <v>33132.00</v>
      </c>
      <c r="H4539" t="s">
        <v>3365</v>
      </c>
    </row>
    <row r="4540" spans="4:8" x14ac:dyDescent="0.2">
      <c r="E4540" t="str">
        <f>"33133"</f>
        <v>33133</v>
      </c>
      <c r="H4540" t="s">
        <v>3366</v>
      </c>
    </row>
    <row r="4541" spans="4:8" x14ac:dyDescent="0.2">
      <c r="F4541" t="str">
        <f>"33133.0"</f>
        <v>33133.0</v>
      </c>
      <c r="H4541" t="s">
        <v>3366</v>
      </c>
    </row>
    <row r="4542" spans="4:8" x14ac:dyDescent="0.2">
      <c r="G4542" t="str">
        <f>"33133.00"</f>
        <v>33133.00</v>
      </c>
      <c r="H4542" t="s">
        <v>3366</v>
      </c>
    </row>
    <row r="4543" spans="4:8" x14ac:dyDescent="0.2">
      <c r="D4543" t="str">
        <f>"3314"</f>
        <v>3314</v>
      </c>
      <c r="H4543" t="s">
        <v>3367</v>
      </c>
    </row>
    <row r="4544" spans="4:8" x14ac:dyDescent="0.2">
      <c r="E4544" t="str">
        <f>"33141"</f>
        <v>33141</v>
      </c>
      <c r="H4544" t="s">
        <v>3368</v>
      </c>
    </row>
    <row r="4545" spans="4:8" x14ac:dyDescent="0.2">
      <c r="F4545" t="str">
        <f>"33141.0"</f>
        <v>33141.0</v>
      </c>
      <c r="H4545" t="s">
        <v>3368</v>
      </c>
    </row>
    <row r="4546" spans="4:8" x14ac:dyDescent="0.2">
      <c r="G4546" t="str">
        <f>"33141.00"</f>
        <v>33141.00</v>
      </c>
      <c r="H4546" t="s">
        <v>3368</v>
      </c>
    </row>
    <row r="4547" spans="4:8" x14ac:dyDescent="0.2">
      <c r="E4547" t="str">
        <f>"33142"</f>
        <v>33142</v>
      </c>
      <c r="H4547" t="s">
        <v>3369</v>
      </c>
    </row>
    <row r="4548" spans="4:8" x14ac:dyDescent="0.2">
      <c r="F4548" t="str">
        <f>"33142.0"</f>
        <v>33142.0</v>
      </c>
      <c r="H4548" t="s">
        <v>3369</v>
      </c>
    </row>
    <row r="4549" spans="4:8" x14ac:dyDescent="0.2">
      <c r="G4549" t="str">
        <f>"33142.00"</f>
        <v>33142.00</v>
      </c>
      <c r="H4549" t="s">
        <v>3369</v>
      </c>
    </row>
    <row r="4550" spans="4:8" x14ac:dyDescent="0.2">
      <c r="E4550" t="str">
        <f>"33149"</f>
        <v>33149</v>
      </c>
      <c r="H4550" t="s">
        <v>3370</v>
      </c>
    </row>
    <row r="4551" spans="4:8" x14ac:dyDescent="0.2">
      <c r="F4551" t="str">
        <f>"33149.0"</f>
        <v>33149.0</v>
      </c>
      <c r="H4551" t="s">
        <v>3370</v>
      </c>
    </row>
    <row r="4552" spans="4:8" x14ac:dyDescent="0.2">
      <c r="G4552" t="str">
        <f>"33149.00"</f>
        <v>33149.00</v>
      </c>
      <c r="H4552" t="s">
        <v>3370</v>
      </c>
    </row>
    <row r="4553" spans="4:8" x14ac:dyDescent="0.2">
      <c r="D4553" t="str">
        <f>"3315"</f>
        <v>3315</v>
      </c>
      <c r="H4553" t="s">
        <v>3371</v>
      </c>
    </row>
    <row r="4554" spans="4:8" x14ac:dyDescent="0.2">
      <c r="E4554" t="str">
        <f>"33151"</f>
        <v>33151</v>
      </c>
      <c r="H4554" t="s">
        <v>3372</v>
      </c>
    </row>
    <row r="4555" spans="4:8" x14ac:dyDescent="0.2">
      <c r="F4555" t="str">
        <f>"33151.0"</f>
        <v>33151.0</v>
      </c>
      <c r="H4555" t="s">
        <v>3372</v>
      </c>
    </row>
    <row r="4556" spans="4:8" x14ac:dyDescent="0.2">
      <c r="G4556" t="str">
        <f>"33151.00"</f>
        <v>33151.00</v>
      </c>
      <c r="H4556" t="s">
        <v>3372</v>
      </c>
    </row>
    <row r="4557" spans="4:8" x14ac:dyDescent="0.2">
      <c r="E4557" t="str">
        <f>"33152"</f>
        <v>33152</v>
      </c>
      <c r="H4557" t="s">
        <v>3373</v>
      </c>
    </row>
    <row r="4558" spans="4:8" x14ac:dyDescent="0.2">
      <c r="F4558" t="str">
        <f>"33152.0"</f>
        <v>33152.0</v>
      </c>
      <c r="H4558" t="s">
        <v>3373</v>
      </c>
    </row>
    <row r="4559" spans="4:8" x14ac:dyDescent="0.2">
      <c r="G4559" t="str">
        <f>"33152.00"</f>
        <v>33152.00</v>
      </c>
      <c r="H4559" t="s">
        <v>3373</v>
      </c>
    </row>
    <row r="4560" spans="4:8" x14ac:dyDescent="0.2">
      <c r="E4560" t="str">
        <f>"33159"</f>
        <v>33159</v>
      </c>
      <c r="H4560" t="s">
        <v>3374</v>
      </c>
    </row>
    <row r="4561" spans="3:8" x14ac:dyDescent="0.2">
      <c r="F4561" t="str">
        <f>"33159.0"</f>
        <v>33159.0</v>
      </c>
      <c r="H4561" t="s">
        <v>3374</v>
      </c>
    </row>
    <row r="4562" spans="3:8" x14ac:dyDescent="0.2">
      <c r="G4562" t="str">
        <f>"33159.01"</f>
        <v>33159.01</v>
      </c>
      <c r="H4562" t="s">
        <v>3375</v>
      </c>
    </row>
    <row r="4563" spans="3:8" x14ac:dyDescent="0.2">
      <c r="G4563" t="str">
        <f>"33159.09"</f>
        <v>33159.09</v>
      </c>
      <c r="H4563" t="s">
        <v>3376</v>
      </c>
    </row>
    <row r="4564" spans="3:8" x14ac:dyDescent="0.2">
      <c r="D4564" t="str">
        <f>"3319"</f>
        <v>3319</v>
      </c>
      <c r="H4564" t="s">
        <v>3377</v>
      </c>
    </row>
    <row r="4565" spans="3:8" x14ac:dyDescent="0.2">
      <c r="E4565" t="str">
        <f>"33190"</f>
        <v>33190</v>
      </c>
      <c r="H4565" t="s">
        <v>3377</v>
      </c>
    </row>
    <row r="4566" spans="3:8" x14ac:dyDescent="0.2">
      <c r="F4566" t="str">
        <f>"33190.0"</f>
        <v>33190.0</v>
      </c>
      <c r="H4566" t="s">
        <v>3377</v>
      </c>
    </row>
    <row r="4567" spans="3:8" x14ac:dyDescent="0.2">
      <c r="G4567" t="str">
        <f>"33190.00"</f>
        <v>33190.00</v>
      </c>
      <c r="H4567" t="s">
        <v>3377</v>
      </c>
    </row>
    <row r="4568" spans="3:8" x14ac:dyDescent="0.2">
      <c r="C4568" t="str">
        <f>"332"</f>
        <v>332</v>
      </c>
      <c r="H4568" t="s">
        <v>3378</v>
      </c>
    </row>
    <row r="4569" spans="3:8" x14ac:dyDescent="0.2">
      <c r="D4569" t="str">
        <f>"3320"</f>
        <v>3320</v>
      </c>
      <c r="H4569" t="s">
        <v>3378</v>
      </c>
    </row>
    <row r="4570" spans="3:8" x14ac:dyDescent="0.2">
      <c r="E4570" t="str">
        <f>"33200"</f>
        <v>33200</v>
      </c>
      <c r="H4570" t="s">
        <v>3378</v>
      </c>
    </row>
    <row r="4571" spans="3:8" x14ac:dyDescent="0.2">
      <c r="F4571" t="str">
        <f>"33200.1"</f>
        <v>33200.1</v>
      </c>
      <c r="H4571" t="s">
        <v>3379</v>
      </c>
    </row>
    <row r="4572" spans="3:8" x14ac:dyDescent="0.2">
      <c r="G4572" t="str">
        <f>"33200.11"</f>
        <v>33200.11</v>
      </c>
      <c r="H4572" t="s">
        <v>3380</v>
      </c>
    </row>
    <row r="4573" spans="3:8" x14ac:dyDescent="0.2">
      <c r="G4573" t="str">
        <f>"33200.19"</f>
        <v>33200.19</v>
      </c>
      <c r="H4573" t="s">
        <v>3381</v>
      </c>
    </row>
    <row r="4574" spans="3:8" x14ac:dyDescent="0.2">
      <c r="F4574" t="str">
        <f>"33200.2"</f>
        <v>33200.2</v>
      </c>
      <c r="H4574" t="s">
        <v>3382</v>
      </c>
    </row>
    <row r="4575" spans="3:8" x14ac:dyDescent="0.2">
      <c r="G4575" t="str">
        <f>"33200.21"</f>
        <v>33200.21</v>
      </c>
      <c r="H4575" t="s">
        <v>3383</v>
      </c>
    </row>
    <row r="4576" spans="3:8" x14ac:dyDescent="0.2">
      <c r="G4576" t="str">
        <f>"33200.29"</f>
        <v>33200.29</v>
      </c>
      <c r="H4576" t="s">
        <v>3384</v>
      </c>
    </row>
    <row r="4577" spans="6:8" x14ac:dyDescent="0.2">
      <c r="F4577" t="str">
        <f>"33200.3"</f>
        <v>33200.3</v>
      </c>
      <c r="H4577" t="s">
        <v>3385</v>
      </c>
    </row>
    <row r="4578" spans="6:8" x14ac:dyDescent="0.2">
      <c r="G4578" t="str">
        <f>"33200.31"</f>
        <v>33200.31</v>
      </c>
      <c r="H4578" t="s">
        <v>3386</v>
      </c>
    </row>
    <row r="4579" spans="6:8" x14ac:dyDescent="0.2">
      <c r="G4579" t="str">
        <f>"33200.32"</f>
        <v>33200.32</v>
      </c>
      <c r="H4579" t="s">
        <v>3387</v>
      </c>
    </row>
    <row r="4580" spans="6:8" x14ac:dyDescent="0.2">
      <c r="G4580" t="str">
        <f>"33200.33"</f>
        <v>33200.33</v>
      </c>
      <c r="H4580" t="s">
        <v>3388</v>
      </c>
    </row>
    <row r="4581" spans="6:8" x14ac:dyDescent="0.2">
      <c r="G4581" t="str">
        <f>"33200.34"</f>
        <v>33200.34</v>
      </c>
      <c r="H4581" t="s">
        <v>3389</v>
      </c>
    </row>
    <row r="4582" spans="6:8" x14ac:dyDescent="0.2">
      <c r="G4582" t="str">
        <f>"33200.35"</f>
        <v>33200.35</v>
      </c>
      <c r="H4582" t="s">
        <v>3390</v>
      </c>
    </row>
    <row r="4583" spans="6:8" x14ac:dyDescent="0.2">
      <c r="G4583" t="str">
        <f>"33200.36"</f>
        <v>33200.36</v>
      </c>
      <c r="H4583" t="s">
        <v>3391</v>
      </c>
    </row>
    <row r="4584" spans="6:8" x14ac:dyDescent="0.2">
      <c r="G4584" t="str">
        <f>"33200.37"</f>
        <v>33200.37</v>
      </c>
      <c r="H4584" t="s">
        <v>3392</v>
      </c>
    </row>
    <row r="4585" spans="6:8" x14ac:dyDescent="0.2">
      <c r="G4585" t="str">
        <f>"33200.38"</f>
        <v>33200.38</v>
      </c>
      <c r="H4585" t="s">
        <v>3393</v>
      </c>
    </row>
    <row r="4586" spans="6:8" x14ac:dyDescent="0.2">
      <c r="G4586" t="str">
        <f>"33200.39"</f>
        <v>33200.39</v>
      </c>
      <c r="H4586" t="s">
        <v>3394</v>
      </c>
    </row>
    <row r="4587" spans="6:8" x14ac:dyDescent="0.2">
      <c r="F4587" t="str">
        <f>"33200.4"</f>
        <v>33200.4</v>
      </c>
      <c r="H4587" t="s">
        <v>3395</v>
      </c>
    </row>
    <row r="4588" spans="6:8" x14ac:dyDescent="0.2">
      <c r="G4588" t="str">
        <f>"33200.41"</f>
        <v>33200.41</v>
      </c>
      <c r="H4588" t="s">
        <v>3396</v>
      </c>
    </row>
    <row r="4589" spans="6:8" x14ac:dyDescent="0.2">
      <c r="G4589" t="str">
        <f>"33200.42"</f>
        <v>33200.42</v>
      </c>
      <c r="H4589" t="s">
        <v>3397</v>
      </c>
    </row>
    <row r="4590" spans="6:8" x14ac:dyDescent="0.2">
      <c r="F4590" t="str">
        <f>"33200.5"</f>
        <v>33200.5</v>
      </c>
      <c r="H4590" t="s">
        <v>3398</v>
      </c>
    </row>
    <row r="4591" spans="6:8" x14ac:dyDescent="0.2">
      <c r="G4591" t="str">
        <f>"33200.50"</f>
        <v>33200.50</v>
      </c>
      <c r="H4591" t="s">
        <v>3398</v>
      </c>
    </row>
    <row r="4592" spans="6:8" x14ac:dyDescent="0.2">
      <c r="F4592" t="str">
        <f>"33200.6"</f>
        <v>33200.6</v>
      </c>
      <c r="H4592" t="s">
        <v>3399</v>
      </c>
    </row>
    <row r="4593" spans="1:8" x14ac:dyDescent="0.2">
      <c r="G4593" t="str">
        <f>"33200.60"</f>
        <v>33200.60</v>
      </c>
      <c r="H4593" t="s">
        <v>3399</v>
      </c>
    </row>
    <row r="4594" spans="1:8" x14ac:dyDescent="0.2">
      <c r="F4594" t="str">
        <f>"33200.9"</f>
        <v>33200.9</v>
      </c>
      <c r="H4594" t="s">
        <v>3400</v>
      </c>
    </row>
    <row r="4595" spans="1:8" x14ac:dyDescent="0.2">
      <c r="G4595" t="str">
        <f>"33200.90"</f>
        <v>33200.90</v>
      </c>
      <c r="H4595" t="s">
        <v>3400</v>
      </c>
    </row>
    <row r="4596" spans="1:8" x14ac:dyDescent="0.2">
      <c r="A4596" t="s">
        <v>3401</v>
      </c>
      <c r="H4596" t="s">
        <v>3402</v>
      </c>
    </row>
    <row r="4597" spans="1:8" x14ac:dyDescent="0.2">
      <c r="B4597" t="str">
        <f>"35"</f>
        <v>35</v>
      </c>
      <c r="H4597" t="s">
        <v>3402</v>
      </c>
    </row>
    <row r="4598" spans="1:8" x14ac:dyDescent="0.2">
      <c r="C4598" t="str">
        <f>"351"</f>
        <v>351</v>
      </c>
      <c r="H4598" t="s">
        <v>3403</v>
      </c>
    </row>
    <row r="4599" spans="1:8" x14ac:dyDescent="0.2">
      <c r="D4599" t="str">
        <f>"3510"</f>
        <v>3510</v>
      </c>
      <c r="H4599" t="s">
        <v>3403</v>
      </c>
    </row>
    <row r="4600" spans="1:8" x14ac:dyDescent="0.2">
      <c r="E4600" t="str">
        <f>"35101"</f>
        <v>35101</v>
      </c>
      <c r="H4600" t="s">
        <v>3404</v>
      </c>
    </row>
    <row r="4601" spans="1:8" x14ac:dyDescent="0.2">
      <c r="F4601" t="str">
        <f>"35101.1"</f>
        <v>35101.1</v>
      </c>
      <c r="H4601" t="s">
        <v>3405</v>
      </c>
    </row>
    <row r="4602" spans="1:8" x14ac:dyDescent="0.2">
      <c r="G4602" t="str">
        <f>"35101.10"</f>
        <v>35101.10</v>
      </c>
      <c r="H4602" t="s">
        <v>3405</v>
      </c>
    </row>
    <row r="4603" spans="1:8" x14ac:dyDescent="0.2">
      <c r="F4603" t="str">
        <f>"35101.2"</f>
        <v>35101.2</v>
      </c>
      <c r="H4603" t="s">
        <v>3406</v>
      </c>
    </row>
    <row r="4604" spans="1:8" x14ac:dyDescent="0.2">
      <c r="G4604" t="str">
        <f>"35101.20"</f>
        <v>35101.20</v>
      </c>
      <c r="H4604" t="s">
        <v>3406</v>
      </c>
    </row>
    <row r="4605" spans="1:8" x14ac:dyDescent="0.2">
      <c r="E4605" t="str">
        <f>"35102"</f>
        <v>35102</v>
      </c>
      <c r="H4605" t="s">
        <v>3407</v>
      </c>
    </row>
    <row r="4606" spans="1:8" x14ac:dyDescent="0.2">
      <c r="F4606" t="str">
        <f>"35102.1"</f>
        <v>35102.1</v>
      </c>
      <c r="H4606" t="s">
        <v>3407</v>
      </c>
    </row>
    <row r="4607" spans="1:8" x14ac:dyDescent="0.2">
      <c r="G4607" t="str">
        <f>"35102.10"</f>
        <v>35102.10</v>
      </c>
      <c r="H4607" t="s">
        <v>3407</v>
      </c>
    </row>
    <row r="4608" spans="1:8" x14ac:dyDescent="0.2">
      <c r="F4608" t="str">
        <f>"35102.2"</f>
        <v>35102.2</v>
      </c>
      <c r="H4608" t="s">
        <v>3408</v>
      </c>
    </row>
    <row r="4609" spans="3:8" x14ac:dyDescent="0.2">
      <c r="G4609" t="str">
        <f>"35102.20"</f>
        <v>35102.20</v>
      </c>
      <c r="H4609" t="s">
        <v>3408</v>
      </c>
    </row>
    <row r="4610" spans="3:8" x14ac:dyDescent="0.2">
      <c r="C4610" t="str">
        <f>"352"</f>
        <v>352</v>
      </c>
      <c r="H4610" t="s">
        <v>3409</v>
      </c>
    </row>
    <row r="4611" spans="3:8" x14ac:dyDescent="0.2">
      <c r="D4611" t="str">
        <f>"3520"</f>
        <v>3520</v>
      </c>
      <c r="H4611" t="s">
        <v>3409</v>
      </c>
    </row>
    <row r="4612" spans="3:8" x14ac:dyDescent="0.2">
      <c r="E4612" t="str">
        <f>"35201"</f>
        <v>35201</v>
      </c>
      <c r="H4612" t="s">
        <v>3410</v>
      </c>
    </row>
    <row r="4613" spans="3:8" x14ac:dyDescent="0.2">
      <c r="F4613" t="str">
        <f>"35201.0"</f>
        <v>35201.0</v>
      </c>
      <c r="H4613" t="s">
        <v>3411</v>
      </c>
    </row>
    <row r="4614" spans="3:8" x14ac:dyDescent="0.2">
      <c r="G4614" t="str">
        <f>"35201.00"</f>
        <v>35201.00</v>
      </c>
      <c r="H4614" t="s">
        <v>3411</v>
      </c>
    </row>
    <row r="4615" spans="3:8" x14ac:dyDescent="0.2">
      <c r="E4615" t="str">
        <f>"35202"</f>
        <v>35202</v>
      </c>
      <c r="H4615" t="s">
        <v>3412</v>
      </c>
    </row>
    <row r="4616" spans="3:8" x14ac:dyDescent="0.2">
      <c r="F4616" t="str">
        <f>"35202.1"</f>
        <v>35202.1</v>
      </c>
      <c r="H4616" t="s">
        <v>3413</v>
      </c>
    </row>
    <row r="4617" spans="3:8" x14ac:dyDescent="0.2">
      <c r="G4617" t="str">
        <f>"35202.10"</f>
        <v>35202.10</v>
      </c>
      <c r="H4617" t="s">
        <v>3413</v>
      </c>
    </row>
    <row r="4618" spans="3:8" x14ac:dyDescent="0.2">
      <c r="F4618" t="str">
        <f>"35202.2"</f>
        <v>35202.2</v>
      </c>
      <c r="H4618" t="s">
        <v>3414</v>
      </c>
    </row>
    <row r="4619" spans="3:8" x14ac:dyDescent="0.2">
      <c r="G4619" t="str">
        <f>"35202.20"</f>
        <v>35202.20</v>
      </c>
      <c r="H4619" t="s">
        <v>3414</v>
      </c>
    </row>
    <row r="4620" spans="3:8" x14ac:dyDescent="0.2">
      <c r="C4620" t="str">
        <f>"353"</f>
        <v>353</v>
      </c>
      <c r="H4620" t="s">
        <v>3415</v>
      </c>
    </row>
    <row r="4621" spans="3:8" x14ac:dyDescent="0.2">
      <c r="D4621" t="str">
        <f>"3530"</f>
        <v>3530</v>
      </c>
      <c r="H4621" t="s">
        <v>3415</v>
      </c>
    </row>
    <row r="4622" spans="3:8" x14ac:dyDescent="0.2">
      <c r="E4622" t="str">
        <f>"35301"</f>
        <v>35301</v>
      </c>
      <c r="H4622" t="s">
        <v>3416</v>
      </c>
    </row>
    <row r="4623" spans="3:8" x14ac:dyDescent="0.2">
      <c r="F4623" t="str">
        <f>"35301.0"</f>
        <v>35301.0</v>
      </c>
      <c r="H4623" t="s">
        <v>3417</v>
      </c>
    </row>
    <row r="4624" spans="3:8" x14ac:dyDescent="0.2">
      <c r="G4624" t="str">
        <f>"35301.00"</f>
        <v>35301.00</v>
      </c>
      <c r="H4624" t="s">
        <v>3417</v>
      </c>
    </row>
    <row r="4625" spans="1:8" x14ac:dyDescent="0.2">
      <c r="E4625" t="str">
        <f>"35302"</f>
        <v>35302</v>
      </c>
      <c r="H4625" t="s">
        <v>3418</v>
      </c>
    </row>
    <row r="4626" spans="1:8" x14ac:dyDescent="0.2">
      <c r="F4626" t="str">
        <f>"35302.1"</f>
        <v>35302.1</v>
      </c>
      <c r="H4626" t="s">
        <v>3419</v>
      </c>
    </row>
    <row r="4627" spans="1:8" x14ac:dyDescent="0.2">
      <c r="G4627" t="str">
        <f>"35302.10"</f>
        <v>35302.10</v>
      </c>
      <c r="H4627" t="s">
        <v>3419</v>
      </c>
    </row>
    <row r="4628" spans="1:8" x14ac:dyDescent="0.2">
      <c r="F4628" t="str">
        <f>"35302.2"</f>
        <v>35302.2</v>
      </c>
      <c r="H4628" t="s">
        <v>3420</v>
      </c>
    </row>
    <row r="4629" spans="1:8" x14ac:dyDescent="0.2">
      <c r="G4629" t="str">
        <f>"35302.20"</f>
        <v>35302.20</v>
      </c>
      <c r="H4629" t="s">
        <v>3420</v>
      </c>
    </row>
    <row r="4630" spans="1:8" x14ac:dyDescent="0.2">
      <c r="F4630" t="str">
        <f>"35302.3"</f>
        <v>35302.3</v>
      </c>
      <c r="H4630" t="s">
        <v>3421</v>
      </c>
    </row>
    <row r="4631" spans="1:8" x14ac:dyDescent="0.2">
      <c r="G4631" t="str">
        <f>"35302.30"</f>
        <v>35302.30</v>
      </c>
      <c r="H4631" t="s">
        <v>3421</v>
      </c>
    </row>
    <row r="4632" spans="1:8" x14ac:dyDescent="0.2">
      <c r="A4632" t="s">
        <v>3422</v>
      </c>
      <c r="H4632" t="s">
        <v>3423</v>
      </c>
    </row>
    <row r="4633" spans="1:8" x14ac:dyDescent="0.2">
      <c r="B4633" t="str">
        <f>"36"</f>
        <v>36</v>
      </c>
      <c r="H4633" t="s">
        <v>3424</v>
      </c>
    </row>
    <row r="4634" spans="1:8" x14ac:dyDescent="0.2">
      <c r="C4634" t="str">
        <f>"360"</f>
        <v>360</v>
      </c>
      <c r="H4634" t="s">
        <v>3424</v>
      </c>
    </row>
    <row r="4635" spans="1:8" x14ac:dyDescent="0.2">
      <c r="D4635" t="str">
        <f>"3600"</f>
        <v>3600</v>
      </c>
      <c r="H4635" t="s">
        <v>3424</v>
      </c>
    </row>
    <row r="4636" spans="1:8" x14ac:dyDescent="0.2">
      <c r="E4636" t="str">
        <f>"36001"</f>
        <v>36001</v>
      </c>
      <c r="H4636" t="s">
        <v>3425</v>
      </c>
    </row>
    <row r="4637" spans="1:8" x14ac:dyDescent="0.2">
      <c r="F4637" t="str">
        <f>"36001.0"</f>
        <v>36001.0</v>
      </c>
      <c r="H4637" t="s">
        <v>3425</v>
      </c>
    </row>
    <row r="4638" spans="1:8" x14ac:dyDescent="0.2">
      <c r="G4638" t="str">
        <f>"36001.00"</f>
        <v>36001.00</v>
      </c>
      <c r="H4638" t="s">
        <v>3425</v>
      </c>
    </row>
    <row r="4639" spans="1:8" x14ac:dyDescent="0.2">
      <c r="E4639" t="str">
        <f>"36002"</f>
        <v>36002</v>
      </c>
      <c r="H4639" t="s">
        <v>3426</v>
      </c>
    </row>
    <row r="4640" spans="1:8" x14ac:dyDescent="0.2">
      <c r="F4640" t="str">
        <f>"36002.1"</f>
        <v>36002.1</v>
      </c>
      <c r="H4640" t="s">
        <v>3427</v>
      </c>
    </row>
    <row r="4641" spans="2:8" x14ac:dyDescent="0.2">
      <c r="G4641" t="str">
        <f>"36002.10	"</f>
        <v xml:space="preserve">36002.10	</v>
      </c>
      <c r="H4641" t="s">
        <v>3427</v>
      </c>
    </row>
    <row r="4642" spans="2:8" x14ac:dyDescent="0.2">
      <c r="F4642" t="str">
        <f>"36002.2"</f>
        <v>36002.2</v>
      </c>
      <c r="H4642" t="s">
        <v>3428</v>
      </c>
    </row>
    <row r="4643" spans="2:8" x14ac:dyDescent="0.2">
      <c r="G4643" t="str">
        <f>"36002.20	"</f>
        <v xml:space="preserve">36002.20	</v>
      </c>
      <c r="H4643" t="s">
        <v>3428</v>
      </c>
    </row>
    <row r="4644" spans="2:8" x14ac:dyDescent="0.2">
      <c r="E4644" t="str">
        <f>"36003"</f>
        <v>36003</v>
      </c>
      <c r="H4644" t="s">
        <v>3429</v>
      </c>
    </row>
    <row r="4645" spans="2:8" x14ac:dyDescent="0.2">
      <c r="F4645" t="str">
        <f>"36003.1"</f>
        <v>36003.1</v>
      </c>
      <c r="H4645" t="s">
        <v>3430</v>
      </c>
    </row>
    <row r="4646" spans="2:8" x14ac:dyDescent="0.2">
      <c r="G4646" t="str">
        <f>"36003.10	"</f>
        <v xml:space="preserve">36003.10	</v>
      </c>
      <c r="H4646" t="s">
        <v>3430</v>
      </c>
    </row>
    <row r="4647" spans="2:8" x14ac:dyDescent="0.2">
      <c r="F4647" t="str">
        <f>"36003.2"</f>
        <v>36003.2</v>
      </c>
      <c r="H4647" t="s">
        <v>3431</v>
      </c>
    </row>
    <row r="4648" spans="2:8" x14ac:dyDescent="0.2">
      <c r="G4648" t="str">
        <f>"36003.20	"</f>
        <v xml:space="preserve">36003.20	</v>
      </c>
      <c r="H4648" t="s">
        <v>3431</v>
      </c>
    </row>
    <row r="4649" spans="2:8" x14ac:dyDescent="0.2">
      <c r="E4649" t="str">
        <f>"36009"</f>
        <v>36009</v>
      </c>
      <c r="H4649" t="s">
        <v>3432</v>
      </c>
    </row>
    <row r="4650" spans="2:8" x14ac:dyDescent="0.2">
      <c r="F4650" t="str">
        <f>"36009.1"</f>
        <v>36009.1</v>
      </c>
      <c r="H4650" t="s">
        <v>3433</v>
      </c>
    </row>
    <row r="4651" spans="2:8" x14ac:dyDescent="0.2">
      <c r="G4651" t="str">
        <f>"36009.10	"</f>
        <v xml:space="preserve">36009.10	</v>
      </c>
      <c r="H4651" t="s">
        <v>3433</v>
      </c>
    </row>
    <row r="4652" spans="2:8" x14ac:dyDescent="0.2">
      <c r="F4652" t="str">
        <f>"36009.2"</f>
        <v>36009.2</v>
      </c>
      <c r="H4652" t="s">
        <v>3434</v>
      </c>
    </row>
    <row r="4653" spans="2:8" x14ac:dyDescent="0.2">
      <c r="G4653" t="str">
        <f>"36009.20	"</f>
        <v xml:space="preserve">36009.20	</v>
      </c>
      <c r="H4653" t="s">
        <v>3434</v>
      </c>
    </row>
    <row r="4654" spans="2:8" x14ac:dyDescent="0.2">
      <c r="B4654" t="str">
        <f>"37"</f>
        <v>37</v>
      </c>
      <c r="H4654" t="s">
        <v>3435</v>
      </c>
    </row>
    <row r="4655" spans="2:8" x14ac:dyDescent="0.2">
      <c r="C4655" t="str">
        <f>"370"</f>
        <v>370</v>
      </c>
      <c r="H4655" t="s">
        <v>3435</v>
      </c>
    </row>
    <row r="4656" spans="2:8" x14ac:dyDescent="0.2">
      <c r="D4656" t="str">
        <f>"3700"</f>
        <v>3700</v>
      </c>
      <c r="H4656" t="s">
        <v>3436</v>
      </c>
    </row>
    <row r="4657" spans="2:8" x14ac:dyDescent="0.2">
      <c r="E4657" t="str">
        <f>"37000"</f>
        <v>37000</v>
      </c>
      <c r="H4657" t="s">
        <v>3435</v>
      </c>
    </row>
    <row r="4658" spans="2:8" x14ac:dyDescent="0.2">
      <c r="F4658" t="str">
        <f>"37000.1		"</f>
        <v xml:space="preserve">37000.1		</v>
      </c>
      <c r="H4658" t="s">
        <v>3435</v>
      </c>
    </row>
    <row r="4659" spans="2:8" x14ac:dyDescent="0.2">
      <c r="G4659" t="str">
        <f>"37000.11	"</f>
        <v xml:space="preserve">37000.11	</v>
      </c>
      <c r="H4659" t="s">
        <v>3437</v>
      </c>
    </row>
    <row r="4660" spans="2:8" x14ac:dyDescent="0.2">
      <c r="G4660" t="str">
        <f>"37000.12	"</f>
        <v xml:space="preserve">37000.12	</v>
      </c>
      <c r="H4660" t="s">
        <v>3438</v>
      </c>
    </row>
    <row r="4661" spans="2:8" x14ac:dyDescent="0.2">
      <c r="F4661" t="str">
        <f>"37000.2"</f>
        <v>37000.2</v>
      </c>
      <c r="H4661" t="s">
        <v>3439</v>
      </c>
    </row>
    <row r="4662" spans="2:8" x14ac:dyDescent="0.2">
      <c r="G4662" t="str">
        <f>"37000.20	"</f>
        <v xml:space="preserve">37000.20	</v>
      </c>
      <c r="H4662" t="s">
        <v>3439</v>
      </c>
    </row>
    <row r="4663" spans="2:8" x14ac:dyDescent="0.2">
      <c r="B4663" t="str">
        <f>"38"</f>
        <v>38</v>
      </c>
      <c r="H4663" t="s">
        <v>3440</v>
      </c>
    </row>
    <row r="4664" spans="2:8" x14ac:dyDescent="0.2">
      <c r="C4664" t="str">
        <f>"381"</f>
        <v>381</v>
      </c>
      <c r="H4664" t="s">
        <v>3441</v>
      </c>
    </row>
    <row r="4665" spans="2:8" x14ac:dyDescent="0.2">
      <c r="D4665" t="str">
        <f>"3811"</f>
        <v>3811</v>
      </c>
      <c r="H4665" t="s">
        <v>3442</v>
      </c>
    </row>
    <row r="4666" spans="2:8" x14ac:dyDescent="0.2">
      <c r="E4666" t="str">
        <f>"38110"</f>
        <v>38110</v>
      </c>
      <c r="H4666" t="s">
        <v>3442</v>
      </c>
    </row>
    <row r="4667" spans="2:8" x14ac:dyDescent="0.2">
      <c r="F4667" t="str">
        <f>"38110.1		"</f>
        <v xml:space="preserve">38110.1		</v>
      </c>
      <c r="H4667" t="s">
        <v>3443</v>
      </c>
    </row>
    <row r="4668" spans="2:8" x14ac:dyDescent="0.2">
      <c r="G4668" t="str">
        <f>"38110.11	"</f>
        <v xml:space="preserve">38110.11	</v>
      </c>
      <c r="H4668" t="s">
        <v>3444</v>
      </c>
    </row>
    <row r="4669" spans="2:8" x14ac:dyDescent="0.2">
      <c r="G4669" t="str">
        <f>"38110.19	"</f>
        <v xml:space="preserve">38110.19	</v>
      </c>
      <c r="H4669" t="s">
        <v>3445</v>
      </c>
    </row>
    <row r="4670" spans="2:8" x14ac:dyDescent="0.2">
      <c r="F4670" t="str">
        <f>"38110.2		"</f>
        <v xml:space="preserve">38110.2		</v>
      </c>
      <c r="H4670" t="s">
        <v>3446</v>
      </c>
    </row>
    <row r="4671" spans="2:8" x14ac:dyDescent="0.2">
      <c r="G4671" t="str">
        <f>"38110.21	"</f>
        <v xml:space="preserve">38110.21	</v>
      </c>
      <c r="H4671" t="s">
        <v>3447</v>
      </c>
    </row>
    <row r="4672" spans="2:8" x14ac:dyDescent="0.2">
      <c r="G4672" t="str">
        <f>"38110.29	"</f>
        <v xml:space="preserve">38110.29	</v>
      </c>
      <c r="H4672" t="s">
        <v>3448</v>
      </c>
    </row>
    <row r="4673" spans="6:8" x14ac:dyDescent="0.2">
      <c r="F4673" t="str">
        <f>"38110.3		"</f>
        <v xml:space="preserve">38110.3		</v>
      </c>
      <c r="H4673" t="s">
        <v>3449</v>
      </c>
    </row>
    <row r="4674" spans="6:8" x14ac:dyDescent="0.2">
      <c r="G4674" t="str">
        <f>"38110.31	"</f>
        <v xml:space="preserve">38110.31	</v>
      </c>
      <c r="H4674" t="s">
        <v>3450</v>
      </c>
    </row>
    <row r="4675" spans="6:8" x14ac:dyDescent="0.2">
      <c r="G4675" t="str">
        <f>"38110.39	"</f>
        <v xml:space="preserve">38110.39	</v>
      </c>
      <c r="H4675" t="s">
        <v>3451</v>
      </c>
    </row>
    <row r="4676" spans="6:8" x14ac:dyDescent="0.2">
      <c r="F4676" t="str">
        <f>"38110.4		"</f>
        <v xml:space="preserve">38110.4		</v>
      </c>
      <c r="H4676" t="s">
        <v>3452</v>
      </c>
    </row>
    <row r="4677" spans="6:8" x14ac:dyDescent="0.2">
      <c r="G4677" t="str">
        <f>"38110.41	"</f>
        <v xml:space="preserve">38110.41	</v>
      </c>
      <c r="H4677" t="s">
        <v>3453</v>
      </c>
    </row>
    <row r="4678" spans="6:8" x14ac:dyDescent="0.2">
      <c r="G4678" t="str">
        <f>"38110.49	"</f>
        <v xml:space="preserve">38110.49	</v>
      </c>
      <c r="H4678" t="s">
        <v>3454</v>
      </c>
    </row>
    <row r="4679" spans="6:8" x14ac:dyDescent="0.2">
      <c r="F4679" t="str">
        <f>"38110.5		"</f>
        <v xml:space="preserve">38110.5		</v>
      </c>
      <c r="H4679" t="s">
        <v>3455</v>
      </c>
    </row>
    <row r="4680" spans="6:8" x14ac:dyDescent="0.2">
      <c r="G4680" t="str">
        <f>"38110.51	"</f>
        <v xml:space="preserve">38110.51	</v>
      </c>
      <c r="H4680" t="s">
        <v>3456</v>
      </c>
    </row>
    <row r="4681" spans="6:8" x14ac:dyDescent="0.2">
      <c r="G4681" t="str">
        <f>"38110.52	"</f>
        <v xml:space="preserve">38110.52	</v>
      </c>
      <c r="H4681" t="s">
        <v>3457</v>
      </c>
    </row>
    <row r="4682" spans="6:8" x14ac:dyDescent="0.2">
      <c r="G4682" t="str">
        <f>"38110.53	"</f>
        <v xml:space="preserve">38110.53	</v>
      </c>
      <c r="H4682" t="s">
        <v>3458</v>
      </c>
    </row>
    <row r="4683" spans="6:8" x14ac:dyDescent="0.2">
      <c r="G4683" t="str">
        <f>"38110.54	"</f>
        <v xml:space="preserve">38110.54	</v>
      </c>
      <c r="H4683" t="s">
        <v>3459</v>
      </c>
    </row>
    <row r="4684" spans="6:8" x14ac:dyDescent="0.2">
      <c r="G4684" t="str">
        <f>"38110.55	"</f>
        <v xml:space="preserve">38110.55	</v>
      </c>
      <c r="H4684" t="s">
        <v>3460</v>
      </c>
    </row>
    <row r="4685" spans="6:8" x14ac:dyDescent="0.2">
      <c r="G4685" t="str">
        <f>"38110.56	"</f>
        <v xml:space="preserve">38110.56	</v>
      </c>
      <c r="H4685" t="s">
        <v>3461</v>
      </c>
    </row>
    <row r="4686" spans="6:8" x14ac:dyDescent="0.2">
      <c r="G4686" t="str">
        <f>"38110.57	"</f>
        <v xml:space="preserve">38110.57	</v>
      </c>
      <c r="H4686" t="s">
        <v>3462</v>
      </c>
    </row>
    <row r="4687" spans="6:8" x14ac:dyDescent="0.2">
      <c r="G4687" t="str">
        <f>"38110.59	"</f>
        <v xml:space="preserve">38110.59	</v>
      </c>
      <c r="H4687" t="s">
        <v>3463</v>
      </c>
    </row>
    <row r="4688" spans="6:8" x14ac:dyDescent="0.2">
      <c r="F4688" t="str">
        <f>"38110.6		"</f>
        <v xml:space="preserve">38110.6		</v>
      </c>
      <c r="H4688" t="s">
        <v>3464</v>
      </c>
    </row>
    <row r="4689" spans="4:8" x14ac:dyDescent="0.2">
      <c r="G4689" t="str">
        <f>"38110.61	"</f>
        <v xml:space="preserve">38110.61	</v>
      </c>
      <c r="H4689" t="s">
        <v>3465</v>
      </c>
    </row>
    <row r="4690" spans="4:8" x14ac:dyDescent="0.2">
      <c r="G4690" t="str">
        <f>"38110.69	"</f>
        <v xml:space="preserve">38110.69	</v>
      </c>
      <c r="H4690" t="s">
        <v>3466</v>
      </c>
    </row>
    <row r="4691" spans="4:8" x14ac:dyDescent="0.2">
      <c r="D4691" t="str">
        <f>"3812"</f>
        <v>3812</v>
      </c>
      <c r="H4691" t="s">
        <v>3467</v>
      </c>
    </row>
    <row r="4692" spans="4:8" x14ac:dyDescent="0.2">
      <c r="E4692" t="str">
        <f>"38120"</f>
        <v>38120</v>
      </c>
      <c r="H4692" t="s">
        <v>3467</v>
      </c>
    </row>
    <row r="4693" spans="4:8" x14ac:dyDescent="0.2">
      <c r="F4693" t="str">
        <f>"38120.1		"</f>
        <v xml:space="preserve">38120.1		</v>
      </c>
      <c r="H4693" t="s">
        <v>3467</v>
      </c>
    </row>
    <row r="4694" spans="4:8" x14ac:dyDescent="0.2">
      <c r="G4694" t="str">
        <f>"38120.11	"</f>
        <v xml:space="preserve">38120.11	</v>
      </c>
      <c r="H4694" t="s">
        <v>3468</v>
      </c>
    </row>
    <row r="4695" spans="4:8" x14ac:dyDescent="0.2">
      <c r="G4695" t="str">
        <f>"38120.12	"</f>
        <v xml:space="preserve">38120.12	</v>
      </c>
      <c r="H4695" t="s">
        <v>3469</v>
      </c>
    </row>
    <row r="4696" spans="4:8" x14ac:dyDescent="0.2">
      <c r="G4696" t="str">
        <f>"38120.13	"</f>
        <v xml:space="preserve">38120.13	</v>
      </c>
      <c r="H4696" t="s">
        <v>3470</v>
      </c>
    </row>
    <row r="4697" spans="4:8" x14ac:dyDescent="0.2">
      <c r="F4697" t="str">
        <f>"38120.2		"</f>
        <v xml:space="preserve">38120.2		</v>
      </c>
      <c r="H4697" t="s">
        <v>3471</v>
      </c>
    </row>
    <row r="4698" spans="4:8" x14ac:dyDescent="0.2">
      <c r="G4698" t="str">
        <f>"38120.21	"</f>
        <v xml:space="preserve">38120.21	</v>
      </c>
      <c r="H4698" t="s">
        <v>3472</v>
      </c>
    </row>
    <row r="4699" spans="4:8" x14ac:dyDescent="0.2">
      <c r="G4699" t="str">
        <f>"38120.22	"</f>
        <v xml:space="preserve">38120.22	</v>
      </c>
      <c r="H4699" t="s">
        <v>3473</v>
      </c>
    </row>
    <row r="4700" spans="4:8" x14ac:dyDescent="0.2">
      <c r="G4700" t="str">
        <f>"38120.23	"</f>
        <v xml:space="preserve">38120.23	</v>
      </c>
      <c r="H4700" t="s">
        <v>3474</v>
      </c>
    </row>
    <row r="4701" spans="4:8" x14ac:dyDescent="0.2">
      <c r="G4701" t="str">
        <f>"38120.24	"</f>
        <v xml:space="preserve">38120.24	</v>
      </c>
      <c r="H4701" t="s">
        <v>3475</v>
      </c>
    </row>
    <row r="4702" spans="4:8" x14ac:dyDescent="0.2">
      <c r="G4702" t="str">
        <f>"38120.25	"</f>
        <v xml:space="preserve">38120.25	</v>
      </c>
      <c r="H4702" t="s">
        <v>3476</v>
      </c>
    </row>
    <row r="4703" spans="4:8" x14ac:dyDescent="0.2">
      <c r="G4703" t="str">
        <f>"38120.26	"</f>
        <v xml:space="preserve">38120.26	</v>
      </c>
      <c r="H4703" t="s">
        <v>3477</v>
      </c>
    </row>
    <row r="4704" spans="4:8" x14ac:dyDescent="0.2">
      <c r="G4704" t="str">
        <f>"38120.27	"</f>
        <v xml:space="preserve">38120.27	</v>
      </c>
      <c r="H4704" t="s">
        <v>3478</v>
      </c>
    </row>
    <row r="4705" spans="3:8" x14ac:dyDescent="0.2">
      <c r="G4705" t="str">
        <f>"38120.29	"</f>
        <v xml:space="preserve">38120.29	</v>
      </c>
      <c r="H4705" t="s">
        <v>3479</v>
      </c>
    </row>
    <row r="4706" spans="3:8" x14ac:dyDescent="0.2">
      <c r="F4706" t="str">
        <f>"38120.3"</f>
        <v>38120.3</v>
      </c>
      <c r="H4706" t="s">
        <v>3480</v>
      </c>
    </row>
    <row r="4707" spans="3:8" x14ac:dyDescent="0.2">
      <c r="G4707" t="str">
        <f>"38120.30	"</f>
        <v xml:space="preserve">38120.30	</v>
      </c>
      <c r="H4707" t="s">
        <v>3480</v>
      </c>
    </row>
    <row r="4708" spans="3:8" x14ac:dyDescent="0.2">
      <c r="C4708" t="str">
        <f>"382"</f>
        <v>382</v>
      </c>
      <c r="H4708" t="s">
        <v>3481</v>
      </c>
    </row>
    <row r="4709" spans="3:8" x14ac:dyDescent="0.2">
      <c r="D4709" t="str">
        <f>"3821"</f>
        <v>3821</v>
      </c>
      <c r="H4709" t="s">
        <v>3482</v>
      </c>
    </row>
    <row r="4710" spans="3:8" x14ac:dyDescent="0.2">
      <c r="E4710" t="str">
        <f>"38211"</f>
        <v>38211</v>
      </c>
      <c r="H4710" t="s">
        <v>3483</v>
      </c>
    </row>
    <row r="4711" spans="3:8" x14ac:dyDescent="0.2">
      <c r="F4711" t="str">
        <f>"38211.0	"</f>
        <v xml:space="preserve">38211.0	</v>
      </c>
      <c r="H4711" t="s">
        <v>3483</v>
      </c>
    </row>
    <row r="4712" spans="3:8" x14ac:dyDescent="0.2">
      <c r="G4712" t="str">
        <f>"38211.00	"</f>
        <v xml:space="preserve">38211.00	</v>
      </c>
      <c r="H4712" t="s">
        <v>3483</v>
      </c>
    </row>
    <row r="4713" spans="3:8" x14ac:dyDescent="0.2">
      <c r="E4713" t="str">
        <f>"38212"</f>
        <v>38212</v>
      </c>
      <c r="H4713" t="s">
        <v>3484</v>
      </c>
    </row>
    <row r="4714" spans="3:8" x14ac:dyDescent="0.2">
      <c r="F4714" t="str">
        <f>"38212.1"</f>
        <v>38212.1</v>
      </c>
      <c r="H4714" t="s">
        <v>3484</v>
      </c>
    </row>
    <row r="4715" spans="3:8" x14ac:dyDescent="0.2">
      <c r="G4715" t="str">
        <f>"38212.10	"</f>
        <v xml:space="preserve">38212.10	</v>
      </c>
      <c r="H4715" t="s">
        <v>3484</v>
      </c>
    </row>
    <row r="4716" spans="3:8" x14ac:dyDescent="0.2">
      <c r="F4716" t="str">
        <f>"38212.2"</f>
        <v>38212.2</v>
      </c>
      <c r="H4716" t="s">
        <v>3485</v>
      </c>
    </row>
    <row r="4717" spans="3:8" x14ac:dyDescent="0.2">
      <c r="G4717" t="str">
        <f>"38212.20	"</f>
        <v xml:space="preserve">38212.20	</v>
      </c>
      <c r="H4717" t="s">
        <v>3485</v>
      </c>
    </row>
    <row r="4718" spans="3:8" x14ac:dyDescent="0.2">
      <c r="E4718" t="str">
        <f>"38213"</f>
        <v>38213</v>
      </c>
      <c r="H4718" t="s">
        <v>3486</v>
      </c>
    </row>
    <row r="4719" spans="3:8" x14ac:dyDescent="0.2">
      <c r="F4719" t="str">
        <f>"38213.1"</f>
        <v>38213.1</v>
      </c>
      <c r="H4719" t="s">
        <v>3486</v>
      </c>
    </row>
    <row r="4720" spans="3:8" x14ac:dyDescent="0.2">
      <c r="G4720" t="str">
        <f>"38213.10	"</f>
        <v xml:space="preserve">38213.10	</v>
      </c>
      <c r="H4720" t="s">
        <v>3486</v>
      </c>
    </row>
    <row r="4721" spans="4:8" x14ac:dyDescent="0.2">
      <c r="F4721" t="str">
        <f>"38213.2		"</f>
        <v xml:space="preserve">38213.2		</v>
      </c>
      <c r="H4721" t="s">
        <v>3487</v>
      </c>
    </row>
    <row r="4722" spans="4:8" x14ac:dyDescent="0.2">
      <c r="G4722" t="str">
        <f>"38213.21	"</f>
        <v xml:space="preserve">38213.21	</v>
      </c>
      <c r="H4722" t="s">
        <v>3488</v>
      </c>
    </row>
    <row r="4723" spans="4:8" x14ac:dyDescent="0.2">
      <c r="G4723" t="str">
        <f>"38213.22	"</f>
        <v xml:space="preserve">38213.22	</v>
      </c>
      <c r="H4723" t="s">
        <v>3489</v>
      </c>
    </row>
    <row r="4724" spans="4:8" x14ac:dyDescent="0.2">
      <c r="G4724" t="str">
        <f>"38213.23	"</f>
        <v xml:space="preserve">38213.23	</v>
      </c>
      <c r="H4724" t="s">
        <v>3490</v>
      </c>
    </row>
    <row r="4725" spans="4:8" x14ac:dyDescent="0.2">
      <c r="E4725" t="str">
        <f>"38219"</f>
        <v>38219</v>
      </c>
      <c r="H4725" t="s">
        <v>3491</v>
      </c>
    </row>
    <row r="4726" spans="4:8" x14ac:dyDescent="0.2">
      <c r="F4726" t="str">
        <f>"38219.1	"</f>
        <v xml:space="preserve">38219.1	</v>
      </c>
      <c r="H4726" t="s">
        <v>3492</v>
      </c>
    </row>
    <row r="4727" spans="4:8" x14ac:dyDescent="0.2">
      <c r="G4727" t="str">
        <f>"38219.10	"</f>
        <v xml:space="preserve">38219.10	</v>
      </c>
      <c r="H4727" t="s">
        <v>3492</v>
      </c>
    </row>
    <row r="4728" spans="4:8" x14ac:dyDescent="0.2">
      <c r="F4728" t="str">
        <f>"38219.9"</f>
        <v>38219.9</v>
      </c>
      <c r="H4728" t="s">
        <v>3493</v>
      </c>
    </row>
    <row r="4729" spans="4:8" x14ac:dyDescent="0.2">
      <c r="G4729" t="str">
        <f>"38219.90	"</f>
        <v xml:space="preserve">38219.90	</v>
      </c>
      <c r="H4729" t="s">
        <v>3493</v>
      </c>
    </row>
    <row r="4730" spans="4:8" x14ac:dyDescent="0.2">
      <c r="D4730" t="str">
        <f>"3822"</f>
        <v>3822</v>
      </c>
      <c r="H4730" t="s">
        <v>3494</v>
      </c>
    </row>
    <row r="4731" spans="4:8" x14ac:dyDescent="0.2">
      <c r="E4731" t="str">
        <f>"38221"</f>
        <v>38221</v>
      </c>
      <c r="H4731" t="s">
        <v>3495</v>
      </c>
    </row>
    <row r="4732" spans="4:8" x14ac:dyDescent="0.2">
      <c r="F4732" t="str">
        <f>"38221.0"</f>
        <v>38221.0</v>
      </c>
      <c r="H4732" t="s">
        <v>3496</v>
      </c>
    </row>
    <row r="4733" spans="4:8" x14ac:dyDescent="0.2">
      <c r="G4733" t="str">
        <f>"38221.00	"</f>
        <v xml:space="preserve">38221.00	</v>
      </c>
      <c r="H4733" t="s">
        <v>3496</v>
      </c>
    </row>
    <row r="4734" spans="4:8" x14ac:dyDescent="0.2">
      <c r="E4734" t="str">
        <f>"38222"</f>
        <v>38222</v>
      </c>
      <c r="H4734" t="s">
        <v>3497</v>
      </c>
    </row>
    <row r="4735" spans="4:8" x14ac:dyDescent="0.2">
      <c r="F4735" t="str">
        <f>"38222.0"</f>
        <v>38222.0</v>
      </c>
      <c r="H4735" t="s">
        <v>3498</v>
      </c>
    </row>
    <row r="4736" spans="4:8" x14ac:dyDescent="0.2">
      <c r="G4736" t="str">
        <f>"38222.00	"</f>
        <v xml:space="preserve">38222.00	</v>
      </c>
      <c r="H4736" t="s">
        <v>3498</v>
      </c>
    </row>
    <row r="4737" spans="3:8" x14ac:dyDescent="0.2">
      <c r="C4737" t="str">
        <f>"383"</f>
        <v>383</v>
      </c>
      <c r="H4737" t="s">
        <v>3499</v>
      </c>
    </row>
    <row r="4738" spans="3:8" x14ac:dyDescent="0.2">
      <c r="D4738" t="str">
        <f>"3830"</f>
        <v>3830</v>
      </c>
      <c r="H4738" t="s">
        <v>3499</v>
      </c>
    </row>
    <row r="4739" spans="3:8" x14ac:dyDescent="0.2">
      <c r="E4739" t="str">
        <f>"38300"</f>
        <v>38300</v>
      </c>
      <c r="H4739" t="s">
        <v>3499</v>
      </c>
    </row>
    <row r="4740" spans="3:8" x14ac:dyDescent="0.2">
      <c r="F4740" t="str">
        <f>"38300.1		"</f>
        <v xml:space="preserve">38300.1		</v>
      </c>
      <c r="H4740" t="s">
        <v>3500</v>
      </c>
    </row>
    <row r="4741" spans="3:8" x14ac:dyDescent="0.2">
      <c r="G4741" t="str">
        <f>"38300.11	"</f>
        <v xml:space="preserve">38300.11	</v>
      </c>
      <c r="H4741" t="s">
        <v>3501</v>
      </c>
    </row>
    <row r="4742" spans="3:8" x14ac:dyDescent="0.2">
      <c r="G4742" t="str">
        <f>"38300.19	"</f>
        <v xml:space="preserve">38300.19	</v>
      </c>
      <c r="H4742" t="s">
        <v>3502</v>
      </c>
    </row>
    <row r="4743" spans="3:8" x14ac:dyDescent="0.2">
      <c r="F4743" t="str">
        <f>"38300.2		"</f>
        <v xml:space="preserve">38300.2		</v>
      </c>
      <c r="H4743" t="s">
        <v>3503</v>
      </c>
    </row>
    <row r="4744" spans="3:8" x14ac:dyDescent="0.2">
      <c r="G4744" t="str">
        <f>"38300.21	"</f>
        <v xml:space="preserve">38300.21	</v>
      </c>
      <c r="H4744" t="s">
        <v>3504</v>
      </c>
    </row>
    <row r="4745" spans="3:8" x14ac:dyDescent="0.2">
      <c r="G4745" t="str">
        <f>"38300.22	"</f>
        <v xml:space="preserve">38300.22	</v>
      </c>
      <c r="H4745" t="s">
        <v>3505</v>
      </c>
    </row>
    <row r="4746" spans="3:8" x14ac:dyDescent="0.2">
      <c r="F4746" t="str">
        <f>"38300.3		"</f>
        <v xml:space="preserve">38300.3		</v>
      </c>
      <c r="H4746" t="s">
        <v>3506</v>
      </c>
    </row>
    <row r="4747" spans="3:8" x14ac:dyDescent="0.2">
      <c r="G4747" t="str">
        <f>"38300.31	"</f>
        <v xml:space="preserve">38300.31	</v>
      </c>
      <c r="H4747" t="s">
        <v>3507</v>
      </c>
    </row>
    <row r="4748" spans="3:8" x14ac:dyDescent="0.2">
      <c r="G4748" t="str">
        <f>"38300.32	"</f>
        <v xml:space="preserve">38300.32	</v>
      </c>
      <c r="H4748" t="s">
        <v>3508</v>
      </c>
    </row>
    <row r="4749" spans="3:8" x14ac:dyDescent="0.2">
      <c r="G4749" t="str">
        <f>"38300.33	"</f>
        <v xml:space="preserve">38300.33	</v>
      </c>
      <c r="H4749" t="s">
        <v>3509</v>
      </c>
    </row>
    <row r="4750" spans="3:8" x14ac:dyDescent="0.2">
      <c r="G4750" t="str">
        <f>"38300.34	"</f>
        <v xml:space="preserve">38300.34	</v>
      </c>
      <c r="H4750" t="s">
        <v>3510</v>
      </c>
    </row>
    <row r="4751" spans="3:8" x14ac:dyDescent="0.2">
      <c r="G4751" t="str">
        <f>"38300.35	"</f>
        <v xml:space="preserve">38300.35	</v>
      </c>
      <c r="H4751" t="s">
        <v>3511</v>
      </c>
    </row>
    <row r="4752" spans="3:8" x14ac:dyDescent="0.2">
      <c r="G4752" t="str">
        <f>"38300.36	"</f>
        <v xml:space="preserve">38300.36	</v>
      </c>
      <c r="H4752" t="s">
        <v>3512</v>
      </c>
    </row>
    <row r="4753" spans="2:8" x14ac:dyDescent="0.2">
      <c r="F4753" t="str">
        <f>"38300.4		"</f>
        <v xml:space="preserve">38300.4		</v>
      </c>
      <c r="H4753" t="s">
        <v>3513</v>
      </c>
    </row>
    <row r="4754" spans="2:8" x14ac:dyDescent="0.2">
      <c r="G4754" t="str">
        <f>"38300.41	"</f>
        <v xml:space="preserve">38300.41	</v>
      </c>
      <c r="H4754" t="s">
        <v>3514</v>
      </c>
    </row>
    <row r="4755" spans="2:8" x14ac:dyDescent="0.2">
      <c r="G4755" t="str">
        <f>"38300.42	"</f>
        <v xml:space="preserve">38300.42	</v>
      </c>
      <c r="H4755" t="s">
        <v>3515</v>
      </c>
    </row>
    <row r="4756" spans="2:8" x14ac:dyDescent="0.2">
      <c r="G4756" t="str">
        <f>"38300.43	"</f>
        <v xml:space="preserve">38300.43	</v>
      </c>
      <c r="H4756" t="s">
        <v>3516</v>
      </c>
    </row>
    <row r="4757" spans="2:8" x14ac:dyDescent="0.2">
      <c r="G4757" t="str">
        <f>"38300.44	"</f>
        <v xml:space="preserve">38300.44	</v>
      </c>
      <c r="H4757" t="s">
        <v>3517</v>
      </c>
    </row>
    <row r="4758" spans="2:8" x14ac:dyDescent="0.2">
      <c r="G4758" t="str">
        <f>"38300.45	"</f>
        <v xml:space="preserve">38300.45	</v>
      </c>
      <c r="H4758" t="s">
        <v>3518</v>
      </c>
    </row>
    <row r="4759" spans="2:8" x14ac:dyDescent="0.2">
      <c r="G4759" t="str">
        <f>"38300.49	"</f>
        <v xml:space="preserve">38300.49	</v>
      </c>
      <c r="H4759" t="s">
        <v>3519</v>
      </c>
    </row>
    <row r="4760" spans="2:8" x14ac:dyDescent="0.2">
      <c r="B4760" t="str">
        <f>"39"</f>
        <v>39</v>
      </c>
      <c r="H4760" t="s">
        <v>3520</v>
      </c>
    </row>
    <row r="4761" spans="2:8" x14ac:dyDescent="0.2">
      <c r="C4761" t="str">
        <f>"390"</f>
        <v>390</v>
      </c>
      <c r="H4761" t="s">
        <v>3520</v>
      </c>
    </row>
    <row r="4762" spans="2:8" x14ac:dyDescent="0.2">
      <c r="D4762" t="str">
        <f>"3900"</f>
        <v>3900</v>
      </c>
      <c r="H4762" t="s">
        <v>3520</v>
      </c>
    </row>
    <row r="4763" spans="2:8" x14ac:dyDescent="0.2">
      <c r="E4763" t="str">
        <f>"39000"</f>
        <v>39000</v>
      </c>
      <c r="H4763" t="s">
        <v>3520</v>
      </c>
    </row>
    <row r="4764" spans="2:8" x14ac:dyDescent="0.2">
      <c r="F4764" t="str">
        <f>"39000.1		"</f>
        <v xml:space="preserve">39000.1		</v>
      </c>
      <c r="H4764" t="s">
        <v>3521</v>
      </c>
    </row>
    <row r="4765" spans="2:8" x14ac:dyDescent="0.2">
      <c r="G4765" t="str">
        <f>"39000.11	"</f>
        <v xml:space="preserve">39000.11	</v>
      </c>
      <c r="H4765" t="s">
        <v>3522</v>
      </c>
    </row>
    <row r="4766" spans="2:8" x14ac:dyDescent="0.2">
      <c r="G4766" t="str">
        <f>"39000.12	"</f>
        <v xml:space="preserve">39000.12	</v>
      </c>
      <c r="H4766" t="s">
        <v>3523</v>
      </c>
    </row>
    <row r="4767" spans="2:8" x14ac:dyDescent="0.2">
      <c r="G4767" t="str">
        <f>"39000.13	"</f>
        <v xml:space="preserve">39000.13	</v>
      </c>
      <c r="H4767" t="s">
        <v>3524</v>
      </c>
    </row>
    <row r="4768" spans="2:8" x14ac:dyDescent="0.2">
      <c r="G4768" t="str">
        <f>"39000.14	"</f>
        <v xml:space="preserve">39000.14	</v>
      </c>
      <c r="H4768" t="s">
        <v>3525</v>
      </c>
    </row>
    <row r="4769" spans="1:8" x14ac:dyDescent="0.2">
      <c r="F4769" t="str">
        <f>"39000.9		"</f>
        <v xml:space="preserve">39000.9		</v>
      </c>
      <c r="H4769" t="s">
        <v>3526</v>
      </c>
    </row>
    <row r="4770" spans="1:8" x14ac:dyDescent="0.2">
      <c r="G4770" t="str">
        <f>"39000.91	"</f>
        <v xml:space="preserve">39000.91	</v>
      </c>
      <c r="H4770" t="s">
        <v>3527</v>
      </c>
    </row>
    <row r="4771" spans="1:8" x14ac:dyDescent="0.2">
      <c r="G4771" t="str">
        <f>"39000.92	"</f>
        <v xml:space="preserve">39000.92	</v>
      </c>
      <c r="H4771" t="s">
        <v>3528</v>
      </c>
    </row>
    <row r="4772" spans="1:8" x14ac:dyDescent="0.2">
      <c r="G4772" t="str">
        <f>"39000.99	"</f>
        <v xml:space="preserve">39000.99	</v>
      </c>
      <c r="H4772" t="s">
        <v>3529</v>
      </c>
    </row>
    <row r="4773" spans="1:8" x14ac:dyDescent="0.2">
      <c r="A4773" t="s">
        <v>3530</v>
      </c>
      <c r="H4773" t="s">
        <v>3531</v>
      </c>
    </row>
    <row r="4774" spans="1:8" x14ac:dyDescent="0.2">
      <c r="B4774" t="str">
        <f>"41"</f>
        <v>41</v>
      </c>
      <c r="H4774" t="s">
        <v>3532</v>
      </c>
    </row>
    <row r="4775" spans="1:8" x14ac:dyDescent="0.2">
      <c r="C4775" t="str">
        <f>"410"</f>
        <v>410</v>
      </c>
      <c r="H4775" t="s">
        <v>3532</v>
      </c>
    </row>
    <row r="4776" spans="1:8" x14ac:dyDescent="0.2">
      <c r="D4776" t="str">
        <f>"4100"</f>
        <v>4100</v>
      </c>
      <c r="H4776" t="s">
        <v>3532</v>
      </c>
    </row>
    <row r="4777" spans="1:8" x14ac:dyDescent="0.2">
      <c r="E4777" t="str">
        <f>"41001"</f>
        <v>41001</v>
      </c>
      <c r="H4777" t="s">
        <v>3533</v>
      </c>
    </row>
    <row r="4778" spans="1:8" x14ac:dyDescent="0.2">
      <c r="F4778" t="str">
        <f>"41001.1"</f>
        <v>41001.1</v>
      </c>
      <c r="H4778" t="s">
        <v>3534</v>
      </c>
    </row>
    <row r="4779" spans="1:8" x14ac:dyDescent="0.2">
      <c r="G4779" t="str">
        <f>"41001.10	"</f>
        <v xml:space="preserve">41001.10	</v>
      </c>
      <c r="H4779" t="s">
        <v>3534</v>
      </c>
    </row>
    <row r="4780" spans="1:8" x14ac:dyDescent="0.2">
      <c r="F4780" t="str">
        <f>"41001.2	"</f>
        <v xml:space="preserve">41001.2	</v>
      </c>
      <c r="H4780" t="s">
        <v>3535</v>
      </c>
    </row>
    <row r="4781" spans="1:8" x14ac:dyDescent="0.2">
      <c r="G4781" t="str">
        <f>"41001.20	"</f>
        <v xml:space="preserve">41001.20	</v>
      </c>
      <c r="H4781" t="s">
        <v>3535</v>
      </c>
    </row>
    <row r="4782" spans="1:8" x14ac:dyDescent="0.2">
      <c r="E4782" t="str">
        <f>"41002"</f>
        <v>41002</v>
      </c>
      <c r="H4782" t="s">
        <v>3536</v>
      </c>
    </row>
    <row r="4783" spans="1:8" x14ac:dyDescent="0.2">
      <c r="F4783" t="str">
        <f>"41002.1"</f>
        <v>41002.1</v>
      </c>
      <c r="H4783" t="s">
        <v>3537</v>
      </c>
    </row>
    <row r="4784" spans="1:8" x14ac:dyDescent="0.2">
      <c r="G4784" t="str">
        <f>"41002.10	"</f>
        <v xml:space="preserve">41002.10	</v>
      </c>
      <c r="H4784" t="s">
        <v>3537</v>
      </c>
    </row>
    <row r="4785" spans="2:8" x14ac:dyDescent="0.2">
      <c r="F4785" t="str">
        <f>"41002.2	"</f>
        <v xml:space="preserve">41002.2	</v>
      </c>
      <c r="H4785" t="s">
        <v>3538</v>
      </c>
    </row>
    <row r="4786" spans="2:8" x14ac:dyDescent="0.2">
      <c r="G4786" t="str">
        <f>"41002.20	"</f>
        <v xml:space="preserve">41002.20	</v>
      </c>
      <c r="H4786" t="s">
        <v>3538</v>
      </c>
    </row>
    <row r="4787" spans="2:8" x14ac:dyDescent="0.2">
      <c r="B4787" t="str">
        <f>"42"</f>
        <v>42</v>
      </c>
      <c r="H4787" t="s">
        <v>3539</v>
      </c>
    </row>
    <row r="4788" spans="2:8" x14ac:dyDescent="0.2">
      <c r="C4788" t="str">
        <f>"421"</f>
        <v>421</v>
      </c>
      <c r="H4788" t="s">
        <v>3540</v>
      </c>
    </row>
    <row r="4789" spans="2:8" x14ac:dyDescent="0.2">
      <c r="D4789" t="str">
        <f>"4210"</f>
        <v>4210</v>
      </c>
      <c r="H4789" t="s">
        <v>3540</v>
      </c>
    </row>
    <row r="4790" spans="2:8" x14ac:dyDescent="0.2">
      <c r="E4790" t="str">
        <f>"42101"</f>
        <v>42101</v>
      </c>
      <c r="H4790" t="s">
        <v>3541</v>
      </c>
    </row>
    <row r="4791" spans="2:8" x14ac:dyDescent="0.2">
      <c r="F4791" t="str">
        <f>"42101.1"</f>
        <v>42101.1</v>
      </c>
      <c r="H4791" t="s">
        <v>3542</v>
      </c>
    </row>
    <row r="4792" spans="2:8" x14ac:dyDescent="0.2">
      <c r="G4792" t="str">
        <f>"42101.10	"</f>
        <v xml:space="preserve">42101.10	</v>
      </c>
      <c r="H4792" t="s">
        <v>3542</v>
      </c>
    </row>
    <row r="4793" spans="2:8" x14ac:dyDescent="0.2">
      <c r="F4793" t="str">
        <f>"42101.2"</f>
        <v>42101.2</v>
      </c>
      <c r="H4793" t="s">
        <v>3543</v>
      </c>
    </row>
    <row r="4794" spans="2:8" x14ac:dyDescent="0.2">
      <c r="G4794" t="str">
        <f>"42101.20	"</f>
        <v xml:space="preserve">42101.20	</v>
      </c>
      <c r="H4794" t="s">
        <v>3543</v>
      </c>
    </row>
    <row r="4795" spans="2:8" x14ac:dyDescent="0.2">
      <c r="F4795" t="str">
        <f>"42101.3"</f>
        <v>42101.3</v>
      </c>
      <c r="H4795" t="s">
        <v>3544</v>
      </c>
    </row>
    <row r="4796" spans="2:8" x14ac:dyDescent="0.2">
      <c r="G4796" t="str">
        <f>"42101.30	"</f>
        <v xml:space="preserve">42101.30	</v>
      </c>
      <c r="H4796" t="s">
        <v>3544</v>
      </c>
    </row>
    <row r="4797" spans="2:8" x14ac:dyDescent="0.2">
      <c r="F4797" t="str">
        <f>"42101.4"</f>
        <v>42101.4</v>
      </c>
      <c r="H4797" t="s">
        <v>3545</v>
      </c>
    </row>
    <row r="4798" spans="2:8" x14ac:dyDescent="0.2">
      <c r="G4798" t="str">
        <f>"42101.40	"</f>
        <v xml:space="preserve">42101.40	</v>
      </c>
      <c r="H4798" t="s">
        <v>3545</v>
      </c>
    </row>
    <row r="4799" spans="2:8" x14ac:dyDescent="0.2">
      <c r="E4799" t="str">
        <f>"42102"</f>
        <v>42102</v>
      </c>
      <c r="H4799" t="s">
        <v>3546</v>
      </c>
    </row>
    <row r="4800" spans="2:8" x14ac:dyDescent="0.2">
      <c r="F4800" t="str">
        <f>"42102.1"</f>
        <v>42102.1</v>
      </c>
      <c r="H4800" t="s">
        <v>3547</v>
      </c>
    </row>
    <row r="4801" spans="3:8" x14ac:dyDescent="0.2">
      <c r="G4801" t="str">
        <f>"42102.10	"</f>
        <v xml:space="preserve">42102.10	</v>
      </c>
      <c r="H4801" t="s">
        <v>3547</v>
      </c>
    </row>
    <row r="4802" spans="3:8" x14ac:dyDescent="0.2">
      <c r="F4802" t="str">
        <f>"42102.2"</f>
        <v>42102.2</v>
      </c>
      <c r="H4802" t="s">
        <v>3548</v>
      </c>
    </row>
    <row r="4803" spans="3:8" x14ac:dyDescent="0.2">
      <c r="G4803" t="str">
        <f>"42102.20	"</f>
        <v xml:space="preserve">42102.20	</v>
      </c>
      <c r="H4803" t="s">
        <v>3548</v>
      </c>
    </row>
    <row r="4804" spans="3:8" x14ac:dyDescent="0.2">
      <c r="C4804" t="str">
        <f>"422"</f>
        <v>422</v>
      </c>
      <c r="H4804" t="s">
        <v>3549</v>
      </c>
    </row>
    <row r="4805" spans="3:8" x14ac:dyDescent="0.2">
      <c r="D4805" t="str">
        <f>"4220"</f>
        <v>4220</v>
      </c>
      <c r="H4805" t="s">
        <v>3549</v>
      </c>
    </row>
    <row r="4806" spans="3:8" x14ac:dyDescent="0.2">
      <c r="E4806" t="str">
        <f>"42201"</f>
        <v>42201</v>
      </c>
      <c r="H4806" t="s">
        <v>3550</v>
      </c>
    </row>
    <row r="4807" spans="3:8" x14ac:dyDescent="0.2">
      <c r="F4807" t="str">
        <f>"42201.1		"</f>
        <v xml:space="preserve">42201.1		</v>
      </c>
      <c r="H4807" t="s">
        <v>3551</v>
      </c>
    </row>
    <row r="4808" spans="3:8" x14ac:dyDescent="0.2">
      <c r="G4808" t="str">
        <f>"42201.11	"</f>
        <v xml:space="preserve">42201.11	</v>
      </c>
      <c r="H4808" t="s">
        <v>3552</v>
      </c>
    </row>
    <row r="4809" spans="3:8" x14ac:dyDescent="0.2">
      <c r="G4809" t="str">
        <f>"42201.12	"</f>
        <v xml:space="preserve">42201.12	</v>
      </c>
      <c r="H4809" t="s">
        <v>3553</v>
      </c>
    </row>
    <row r="4810" spans="3:8" x14ac:dyDescent="0.2">
      <c r="G4810" t="str">
        <f>"42201.13	"</f>
        <v xml:space="preserve">42201.13	</v>
      </c>
      <c r="H4810" t="s">
        <v>3554</v>
      </c>
    </row>
    <row r="4811" spans="3:8" x14ac:dyDescent="0.2">
      <c r="F4811" t="str">
        <f>"42201.2		"</f>
        <v xml:space="preserve">42201.2		</v>
      </c>
      <c r="H4811" t="s">
        <v>3555</v>
      </c>
    </row>
    <row r="4812" spans="3:8" x14ac:dyDescent="0.2">
      <c r="G4812" t="str">
        <f>"42201.21	"</f>
        <v xml:space="preserve">42201.21	</v>
      </c>
      <c r="H4812" t="s">
        <v>3556</v>
      </c>
    </row>
    <row r="4813" spans="3:8" x14ac:dyDescent="0.2">
      <c r="G4813" t="str">
        <f>"42201.22	"</f>
        <v xml:space="preserve">42201.22	</v>
      </c>
      <c r="H4813" t="s">
        <v>3557</v>
      </c>
    </row>
    <row r="4814" spans="3:8" x14ac:dyDescent="0.2">
      <c r="G4814" t="str">
        <f>"42201.23	"</f>
        <v xml:space="preserve">42201.23	</v>
      </c>
      <c r="H4814" t="s">
        <v>3558</v>
      </c>
    </row>
    <row r="4815" spans="3:8" x14ac:dyDescent="0.2">
      <c r="G4815" t="str">
        <f>"42201.24	"</f>
        <v xml:space="preserve">42201.24	</v>
      </c>
      <c r="H4815" t="s">
        <v>3559</v>
      </c>
    </row>
    <row r="4816" spans="3:8" x14ac:dyDescent="0.2">
      <c r="E4816" t="str">
        <f>"42202"</f>
        <v>42202</v>
      </c>
      <c r="H4816" t="s">
        <v>3560</v>
      </c>
    </row>
    <row r="4817" spans="3:8" x14ac:dyDescent="0.2">
      <c r="F4817" t="str">
        <f>"42202.1		"</f>
        <v xml:space="preserve">42202.1		</v>
      </c>
      <c r="H4817" t="s">
        <v>3561</v>
      </c>
    </row>
    <row r="4818" spans="3:8" x14ac:dyDescent="0.2">
      <c r="G4818" t="str">
        <f>"42202.11	"</f>
        <v xml:space="preserve">42202.11	</v>
      </c>
      <c r="H4818" t="s">
        <v>3562</v>
      </c>
    </row>
    <row r="4819" spans="3:8" x14ac:dyDescent="0.2">
      <c r="G4819" t="str">
        <f>"42202.12	"</f>
        <v xml:space="preserve">42202.12	</v>
      </c>
      <c r="H4819" t="s">
        <v>3563</v>
      </c>
    </row>
    <row r="4820" spans="3:8" x14ac:dyDescent="0.2">
      <c r="G4820" t="str">
        <f>"42202.13	"</f>
        <v xml:space="preserve">42202.13	</v>
      </c>
      <c r="H4820" t="s">
        <v>3564</v>
      </c>
    </row>
    <row r="4821" spans="3:8" x14ac:dyDescent="0.2">
      <c r="F4821" t="str">
        <f>"42202.2		"</f>
        <v xml:space="preserve">42202.2		</v>
      </c>
      <c r="H4821" t="s">
        <v>3565</v>
      </c>
    </row>
    <row r="4822" spans="3:8" x14ac:dyDescent="0.2">
      <c r="G4822" t="str">
        <f>"42202.21	"</f>
        <v xml:space="preserve">42202.21	</v>
      </c>
      <c r="H4822" t="s">
        <v>3566</v>
      </c>
    </row>
    <row r="4823" spans="3:8" x14ac:dyDescent="0.2">
      <c r="G4823" t="str">
        <f>"42202.22	"</f>
        <v xml:space="preserve">42202.22	</v>
      </c>
      <c r="H4823" t="s">
        <v>3567</v>
      </c>
    </row>
    <row r="4824" spans="3:8" x14ac:dyDescent="0.2">
      <c r="G4824" t="str">
        <f>"42202.23	"</f>
        <v xml:space="preserve">42202.23	</v>
      </c>
      <c r="H4824" t="s">
        <v>3568</v>
      </c>
    </row>
    <row r="4825" spans="3:8" x14ac:dyDescent="0.2">
      <c r="C4825" t="str">
        <f>"429"</f>
        <v>429</v>
      </c>
      <c r="H4825" t="s">
        <v>3569</v>
      </c>
    </row>
    <row r="4826" spans="3:8" x14ac:dyDescent="0.2">
      <c r="D4826" t="str">
        <f>"4290"</f>
        <v>4290</v>
      </c>
      <c r="H4826" t="s">
        <v>3569</v>
      </c>
    </row>
    <row r="4827" spans="3:8" x14ac:dyDescent="0.2">
      <c r="E4827" t="str">
        <f>"42901"</f>
        <v>42901</v>
      </c>
      <c r="H4827" t="s">
        <v>3570</v>
      </c>
    </row>
    <row r="4828" spans="3:8" x14ac:dyDescent="0.2">
      <c r="F4828" t="str">
        <f>"42901.1"</f>
        <v>42901.1</v>
      </c>
      <c r="H4828" t="s">
        <v>3571</v>
      </c>
    </row>
    <row r="4829" spans="3:8" x14ac:dyDescent="0.2">
      <c r="G4829" t="str">
        <f>"42901.10	"</f>
        <v xml:space="preserve">42901.10	</v>
      </c>
      <c r="H4829" t="s">
        <v>3571</v>
      </c>
    </row>
    <row r="4830" spans="3:8" x14ac:dyDescent="0.2">
      <c r="F4830" t="str">
        <f>"42901.2"</f>
        <v>42901.2</v>
      </c>
      <c r="H4830" t="s">
        <v>3572</v>
      </c>
    </row>
    <row r="4831" spans="3:8" x14ac:dyDescent="0.2">
      <c r="G4831" t="str">
        <f>"42901.20	"</f>
        <v xml:space="preserve">42901.20	</v>
      </c>
      <c r="H4831" t="s">
        <v>3572</v>
      </c>
    </row>
    <row r="4832" spans="3:8" x14ac:dyDescent="0.2">
      <c r="E4832" t="str">
        <f>"42909"</f>
        <v>42909</v>
      </c>
      <c r="H4832" t="s">
        <v>3573</v>
      </c>
    </row>
    <row r="4833" spans="2:8" x14ac:dyDescent="0.2">
      <c r="F4833" t="str">
        <f>"42909.1		"</f>
        <v xml:space="preserve">42909.1		</v>
      </c>
      <c r="H4833" t="s">
        <v>3574</v>
      </c>
    </row>
    <row r="4834" spans="2:8" x14ac:dyDescent="0.2">
      <c r="G4834" t="str">
        <f>"42909.11	"</f>
        <v xml:space="preserve">42909.11	</v>
      </c>
      <c r="H4834" t="s">
        <v>3575</v>
      </c>
    </row>
    <row r="4835" spans="2:8" x14ac:dyDescent="0.2">
      <c r="G4835" t="str">
        <f>"42909.12	"</f>
        <v xml:space="preserve">42909.12	</v>
      </c>
      <c r="H4835" t="s">
        <v>3576</v>
      </c>
    </row>
    <row r="4836" spans="2:8" x14ac:dyDescent="0.2">
      <c r="G4836" t="str">
        <f>"42909.19	"</f>
        <v xml:space="preserve">42909.19	</v>
      </c>
      <c r="H4836" t="s">
        <v>3577</v>
      </c>
    </row>
    <row r="4837" spans="2:8" x14ac:dyDescent="0.2">
      <c r="F4837" t="str">
        <f>"42909.9		"</f>
        <v xml:space="preserve">42909.9		</v>
      </c>
      <c r="H4837" t="s">
        <v>3578</v>
      </c>
    </row>
    <row r="4838" spans="2:8" x14ac:dyDescent="0.2">
      <c r="G4838" t="str">
        <f>"42909.91	"</f>
        <v xml:space="preserve">42909.91	</v>
      </c>
      <c r="H4838" t="s">
        <v>3579</v>
      </c>
    </row>
    <row r="4839" spans="2:8" x14ac:dyDescent="0.2">
      <c r="G4839" t="str">
        <f>"42909.92	"</f>
        <v xml:space="preserve">42909.92	</v>
      </c>
      <c r="H4839" t="s">
        <v>3580</v>
      </c>
    </row>
    <row r="4840" spans="2:8" x14ac:dyDescent="0.2">
      <c r="G4840" t="str">
        <f>"42909.99	"</f>
        <v xml:space="preserve">42909.99	</v>
      </c>
      <c r="H4840" t="s">
        <v>3581</v>
      </c>
    </row>
    <row r="4841" spans="2:8" x14ac:dyDescent="0.2">
      <c r="B4841" t="str">
        <f>"43"</f>
        <v>43</v>
      </c>
      <c r="H4841" t="s">
        <v>3582</v>
      </c>
    </row>
    <row r="4842" spans="2:8" x14ac:dyDescent="0.2">
      <c r="C4842" t="str">
        <f>"431"</f>
        <v>431</v>
      </c>
      <c r="H4842" t="s">
        <v>3583</v>
      </c>
    </row>
    <row r="4843" spans="2:8" x14ac:dyDescent="0.2">
      <c r="D4843" t="str">
        <f>"4311"</f>
        <v>4311</v>
      </c>
      <c r="H4843" t="s">
        <v>3584</v>
      </c>
    </row>
    <row r="4844" spans="2:8" x14ac:dyDescent="0.2">
      <c r="E4844" t="str">
        <f>"43110"</f>
        <v>43110</v>
      </c>
      <c r="H4844" t="s">
        <v>3584</v>
      </c>
    </row>
    <row r="4845" spans="2:8" x14ac:dyDescent="0.2">
      <c r="F4845" t="str">
        <f>"43110.0"</f>
        <v>43110.0</v>
      </c>
      <c r="H4845" t="s">
        <v>3584</v>
      </c>
    </row>
    <row r="4846" spans="2:8" x14ac:dyDescent="0.2">
      <c r="G4846" t="str">
        <f>"43110.00	"</f>
        <v xml:space="preserve">43110.00	</v>
      </c>
      <c r="H4846" t="s">
        <v>3584</v>
      </c>
    </row>
    <row r="4847" spans="2:8" x14ac:dyDescent="0.2">
      <c r="D4847" t="str">
        <f>"4312"</f>
        <v>4312</v>
      </c>
      <c r="H4847" t="s">
        <v>3585</v>
      </c>
    </row>
    <row r="4848" spans="2:8" x14ac:dyDescent="0.2">
      <c r="E4848" t="str">
        <f>"43120"</f>
        <v>43120</v>
      </c>
      <c r="H4848" t="s">
        <v>3585</v>
      </c>
    </row>
    <row r="4849" spans="3:8" x14ac:dyDescent="0.2">
      <c r="F4849" t="str">
        <f>"43120.0		"</f>
        <v xml:space="preserve">43120.0		</v>
      </c>
      <c r="H4849" t="s">
        <v>3585</v>
      </c>
    </row>
    <row r="4850" spans="3:8" x14ac:dyDescent="0.2">
      <c r="G4850" t="str">
        <f>"43120.01	"</f>
        <v xml:space="preserve">43120.01	</v>
      </c>
      <c r="H4850" t="s">
        <v>3585</v>
      </c>
    </row>
    <row r="4851" spans="3:8" x14ac:dyDescent="0.2">
      <c r="G4851" t="str">
        <f>"43120.02	"</f>
        <v xml:space="preserve">43120.02	</v>
      </c>
      <c r="H4851" t="s">
        <v>3586</v>
      </c>
    </row>
    <row r="4852" spans="3:8" x14ac:dyDescent="0.2">
      <c r="G4852" t="str">
        <f>"43120.03	"</f>
        <v xml:space="preserve">43120.03	</v>
      </c>
      <c r="H4852" t="s">
        <v>3587</v>
      </c>
    </row>
    <row r="4853" spans="3:8" x14ac:dyDescent="0.2">
      <c r="C4853" t="str">
        <f>"432"</f>
        <v>432</v>
      </c>
      <c r="H4853" t="s">
        <v>3588</v>
      </c>
    </row>
    <row r="4854" spans="3:8" x14ac:dyDescent="0.2">
      <c r="D4854" t="str">
        <f>"4321"</f>
        <v>4321</v>
      </c>
      <c r="H4854" t="s">
        <v>3589</v>
      </c>
    </row>
    <row r="4855" spans="3:8" x14ac:dyDescent="0.2">
      <c r="E4855" t="str">
        <f>"43210"</f>
        <v>43210</v>
      </c>
      <c r="H4855" t="s">
        <v>3589</v>
      </c>
    </row>
    <row r="4856" spans="3:8" x14ac:dyDescent="0.2">
      <c r="F4856" t="str">
        <f>"43210.0"</f>
        <v>43210.0</v>
      </c>
      <c r="H4856" t="s">
        <v>3589</v>
      </c>
    </row>
    <row r="4857" spans="3:8" x14ac:dyDescent="0.2">
      <c r="G4857" t="str">
        <f>"43210.00	"</f>
        <v xml:space="preserve">43210.00	</v>
      </c>
      <c r="H4857" t="s">
        <v>3589</v>
      </c>
    </row>
    <row r="4858" spans="3:8" x14ac:dyDescent="0.2">
      <c r="D4858" t="str">
        <f>"4322"</f>
        <v>4322</v>
      </c>
      <c r="H4858" t="s">
        <v>3590</v>
      </c>
    </row>
    <row r="4859" spans="3:8" x14ac:dyDescent="0.2">
      <c r="E4859" t="str">
        <f>"43221"</f>
        <v>43221</v>
      </c>
      <c r="H4859" t="s">
        <v>3591</v>
      </c>
    </row>
    <row r="4860" spans="3:8" x14ac:dyDescent="0.2">
      <c r="F4860" t="str">
        <f>"43221.0"</f>
        <v>43221.0</v>
      </c>
      <c r="H4860" t="s">
        <v>3591</v>
      </c>
    </row>
    <row r="4861" spans="3:8" x14ac:dyDescent="0.2">
      <c r="G4861" t="str">
        <f>"43221.00	"</f>
        <v xml:space="preserve">43221.00	</v>
      </c>
      <c r="H4861" t="s">
        <v>3591</v>
      </c>
    </row>
    <row r="4862" spans="3:8" x14ac:dyDescent="0.2">
      <c r="E4862" t="str">
        <f>"43222"</f>
        <v>43222</v>
      </c>
      <c r="H4862" t="s">
        <v>3592</v>
      </c>
    </row>
    <row r="4863" spans="3:8" x14ac:dyDescent="0.2">
      <c r="F4863" t="str">
        <f>"43222.0		"</f>
        <v xml:space="preserve">43222.0		</v>
      </c>
      <c r="H4863" t="s">
        <v>3592</v>
      </c>
    </row>
    <row r="4864" spans="3:8" x14ac:dyDescent="0.2">
      <c r="G4864" t="str">
        <f>"43222.01	"</f>
        <v xml:space="preserve">43222.01	</v>
      </c>
      <c r="H4864" t="s">
        <v>3593</v>
      </c>
    </row>
    <row r="4865" spans="3:8" x14ac:dyDescent="0.2">
      <c r="G4865" t="str">
        <f>"43222.02	"</f>
        <v xml:space="preserve">43222.02	</v>
      </c>
      <c r="H4865" t="s">
        <v>3594</v>
      </c>
    </row>
    <row r="4866" spans="3:8" x14ac:dyDescent="0.2">
      <c r="E4866" t="str">
        <f>"43223"</f>
        <v>43223</v>
      </c>
      <c r="H4866" t="s">
        <v>3595</v>
      </c>
    </row>
    <row r="4867" spans="3:8" x14ac:dyDescent="0.2">
      <c r="F4867" t="str">
        <f>"43223.0"</f>
        <v>43223.0</v>
      </c>
      <c r="H4867" t="s">
        <v>3595</v>
      </c>
    </row>
    <row r="4868" spans="3:8" x14ac:dyDescent="0.2">
      <c r="G4868" t="str">
        <f>"43223.00	"</f>
        <v xml:space="preserve">43223.00	</v>
      </c>
      <c r="H4868" t="s">
        <v>3595</v>
      </c>
    </row>
    <row r="4869" spans="3:8" x14ac:dyDescent="0.2">
      <c r="D4869" t="str">
        <f>"4329"</f>
        <v>4329</v>
      </c>
      <c r="H4869" t="s">
        <v>3596</v>
      </c>
    </row>
    <row r="4870" spans="3:8" x14ac:dyDescent="0.2">
      <c r="E4870" t="str">
        <f>"43291"</f>
        <v>43291</v>
      </c>
      <c r="H4870" t="s">
        <v>3597</v>
      </c>
    </row>
    <row r="4871" spans="3:8" x14ac:dyDescent="0.2">
      <c r="F4871" t="str">
        <f>"43291.0	"</f>
        <v xml:space="preserve">43291.0	</v>
      </c>
      <c r="H4871" t="s">
        <v>3597</v>
      </c>
    </row>
    <row r="4872" spans="3:8" x14ac:dyDescent="0.2">
      <c r="G4872" t="str">
        <f>"43291.00	"</f>
        <v xml:space="preserve">43291.00	</v>
      </c>
      <c r="H4872" t="s">
        <v>3597</v>
      </c>
    </row>
    <row r="4873" spans="3:8" x14ac:dyDescent="0.2">
      <c r="E4873" t="str">
        <f>"43299"</f>
        <v>43299</v>
      </c>
      <c r="H4873" t="s">
        <v>3598</v>
      </c>
    </row>
    <row r="4874" spans="3:8" x14ac:dyDescent="0.2">
      <c r="F4874" t="str">
        <f>"43299.0		"</f>
        <v xml:space="preserve">43299.0		</v>
      </c>
      <c r="H4874" t="s">
        <v>3598</v>
      </c>
    </row>
    <row r="4875" spans="3:8" x14ac:dyDescent="0.2">
      <c r="G4875" t="str">
        <f>"43299.01	"</f>
        <v xml:space="preserve">43299.01	</v>
      </c>
      <c r="H4875" t="s">
        <v>3599</v>
      </c>
    </row>
    <row r="4876" spans="3:8" x14ac:dyDescent="0.2">
      <c r="G4876" t="str">
        <f>"43299.09	"</f>
        <v xml:space="preserve">43299.09	</v>
      </c>
      <c r="H4876" t="s">
        <v>3598</v>
      </c>
    </row>
    <row r="4877" spans="3:8" x14ac:dyDescent="0.2">
      <c r="C4877" t="str">
        <f>"433"</f>
        <v>433</v>
      </c>
      <c r="H4877" t="s">
        <v>3600</v>
      </c>
    </row>
    <row r="4878" spans="3:8" x14ac:dyDescent="0.2">
      <c r="D4878" t="str">
        <f>"4330"</f>
        <v>4330</v>
      </c>
      <c r="H4878" t="s">
        <v>3600</v>
      </c>
    </row>
    <row r="4879" spans="3:8" x14ac:dyDescent="0.2">
      <c r="E4879" t="str">
        <f>"43301"</f>
        <v>43301</v>
      </c>
      <c r="H4879" t="s">
        <v>3601</v>
      </c>
    </row>
    <row r="4880" spans="3:8" x14ac:dyDescent="0.2">
      <c r="F4880" t="str">
        <f>"43301.0		"</f>
        <v xml:space="preserve">43301.0		</v>
      </c>
      <c r="H4880" t="s">
        <v>3601</v>
      </c>
    </row>
    <row r="4881" spans="5:8" x14ac:dyDescent="0.2">
      <c r="G4881" t="str">
        <f>"43301.01	"</f>
        <v xml:space="preserve">43301.01	</v>
      </c>
      <c r="H4881" t="s">
        <v>3602</v>
      </c>
    </row>
    <row r="4882" spans="5:8" x14ac:dyDescent="0.2">
      <c r="G4882" t="str">
        <f>"43301.09	"</f>
        <v xml:space="preserve">43301.09	</v>
      </c>
      <c r="H4882" t="s">
        <v>3603</v>
      </c>
    </row>
    <row r="4883" spans="5:8" x14ac:dyDescent="0.2">
      <c r="E4883" t="str">
        <f>"43302"</f>
        <v>43302</v>
      </c>
      <c r="H4883" t="s">
        <v>3604</v>
      </c>
    </row>
    <row r="4884" spans="5:8" x14ac:dyDescent="0.2">
      <c r="F4884" t="str">
        <f>"43302.1"</f>
        <v>43302.1</v>
      </c>
      <c r="H4884" t="s">
        <v>3605</v>
      </c>
    </row>
    <row r="4885" spans="5:8" x14ac:dyDescent="0.2">
      <c r="G4885" t="str">
        <f>"43302.10	"</f>
        <v xml:space="preserve">43302.10	</v>
      </c>
      <c r="H4885" t="s">
        <v>3605</v>
      </c>
    </row>
    <row r="4886" spans="5:8" x14ac:dyDescent="0.2">
      <c r="F4886" t="str">
        <f>"43302.9		"</f>
        <v xml:space="preserve">43302.9		</v>
      </c>
      <c r="H4886" t="s">
        <v>3606</v>
      </c>
    </row>
    <row r="4887" spans="5:8" x14ac:dyDescent="0.2">
      <c r="G4887" t="str">
        <f>"43302.91	"</f>
        <v xml:space="preserve">43302.91	</v>
      </c>
      <c r="H4887" t="s">
        <v>3607</v>
      </c>
    </row>
    <row r="4888" spans="5:8" x14ac:dyDescent="0.2">
      <c r="G4888" t="str">
        <f>"43302.99	"</f>
        <v xml:space="preserve">43302.99	</v>
      </c>
      <c r="H4888" t="s">
        <v>3608</v>
      </c>
    </row>
    <row r="4889" spans="5:8" x14ac:dyDescent="0.2">
      <c r="E4889" t="str">
        <f>"43303"</f>
        <v>43303</v>
      </c>
      <c r="H4889" t="s">
        <v>3609</v>
      </c>
    </row>
    <row r="4890" spans="5:8" x14ac:dyDescent="0.2">
      <c r="F4890" t="str">
        <f>"43303.0"</f>
        <v>43303.0</v>
      </c>
      <c r="H4890" t="s">
        <v>3609</v>
      </c>
    </row>
    <row r="4891" spans="5:8" x14ac:dyDescent="0.2">
      <c r="G4891" t="str">
        <f>"43303.00	"</f>
        <v xml:space="preserve">43303.00	</v>
      </c>
      <c r="H4891" t="s">
        <v>3609</v>
      </c>
    </row>
    <row r="4892" spans="5:8" x14ac:dyDescent="0.2">
      <c r="E4892" t="str">
        <f>"43309"</f>
        <v>43309</v>
      </c>
      <c r="H4892" t="s">
        <v>3610</v>
      </c>
    </row>
    <row r="4893" spans="5:8" x14ac:dyDescent="0.2">
      <c r="F4893" t="str">
        <f>"43309.1"</f>
        <v>43309.1</v>
      </c>
      <c r="H4893" t="s">
        <v>3611</v>
      </c>
    </row>
    <row r="4894" spans="5:8" x14ac:dyDescent="0.2">
      <c r="G4894" t="str">
        <f>"43309.10	"</f>
        <v xml:space="preserve">43309.10	</v>
      </c>
      <c r="H4894" t="s">
        <v>3611</v>
      </c>
    </row>
    <row r="4895" spans="5:8" x14ac:dyDescent="0.2">
      <c r="F4895" t="str">
        <f>"43309.9		"</f>
        <v xml:space="preserve">43309.9		</v>
      </c>
      <c r="H4895" t="s">
        <v>3612</v>
      </c>
    </row>
    <row r="4896" spans="5:8" x14ac:dyDescent="0.2">
      <c r="G4896" t="str">
        <f>"43309.91	"</f>
        <v xml:space="preserve">43309.91	</v>
      </c>
      <c r="H4896" t="s">
        <v>3613</v>
      </c>
    </row>
    <row r="4897" spans="3:8" x14ac:dyDescent="0.2">
      <c r="G4897" t="str">
        <f>"43309.99	"</f>
        <v xml:space="preserve">43309.99	</v>
      </c>
      <c r="H4897" t="s">
        <v>3612</v>
      </c>
    </row>
    <row r="4898" spans="3:8" x14ac:dyDescent="0.2">
      <c r="C4898" t="str">
        <f>"439"</f>
        <v>439</v>
      </c>
      <c r="H4898" t="s">
        <v>3614</v>
      </c>
    </row>
    <row r="4899" spans="3:8" x14ac:dyDescent="0.2">
      <c r="D4899" t="str">
        <f>"4390"</f>
        <v>4390</v>
      </c>
      <c r="H4899" t="s">
        <v>3614</v>
      </c>
    </row>
    <row r="4900" spans="3:8" x14ac:dyDescent="0.2">
      <c r="E4900" t="str">
        <f>"43901"</f>
        <v>43901</v>
      </c>
      <c r="H4900" t="s">
        <v>3615</v>
      </c>
    </row>
    <row r="4901" spans="3:8" x14ac:dyDescent="0.2">
      <c r="F4901" t="str">
        <f>"43901.0	"</f>
        <v xml:space="preserve">43901.0	</v>
      </c>
      <c r="H4901" t="s">
        <v>3616</v>
      </c>
    </row>
    <row r="4902" spans="3:8" x14ac:dyDescent="0.2">
      <c r="G4902" t="str">
        <f>"43901.00	"</f>
        <v xml:space="preserve">43901.00	</v>
      </c>
      <c r="H4902" t="s">
        <v>3616</v>
      </c>
    </row>
    <row r="4903" spans="3:8" x14ac:dyDescent="0.2">
      <c r="E4903" t="str">
        <f>"43909"</f>
        <v>43909</v>
      </c>
      <c r="H4903" t="s">
        <v>3617</v>
      </c>
    </row>
    <row r="4904" spans="3:8" x14ac:dyDescent="0.2">
      <c r="F4904" t="str">
        <f>"43909.1		"</f>
        <v xml:space="preserve">43909.1		</v>
      </c>
      <c r="H4904" t="s">
        <v>3618</v>
      </c>
    </row>
    <row r="4905" spans="3:8" x14ac:dyDescent="0.2">
      <c r="G4905" t="str">
        <f>"43909.11	"</f>
        <v xml:space="preserve">43909.11	</v>
      </c>
      <c r="H4905" t="s">
        <v>3619</v>
      </c>
    </row>
    <row r="4906" spans="3:8" x14ac:dyDescent="0.2">
      <c r="G4906" t="str">
        <f>"43909.19	"</f>
        <v xml:space="preserve">43909.19	</v>
      </c>
      <c r="H4906" t="s">
        <v>3620</v>
      </c>
    </row>
    <row r="4907" spans="3:8" x14ac:dyDescent="0.2">
      <c r="F4907" t="str">
        <f>"43909.9		"</f>
        <v xml:space="preserve">43909.9		</v>
      </c>
      <c r="H4907" t="s">
        <v>3617</v>
      </c>
    </row>
    <row r="4908" spans="3:8" x14ac:dyDescent="0.2">
      <c r="G4908" t="str">
        <f>"43909.91	"</f>
        <v xml:space="preserve">43909.91	</v>
      </c>
      <c r="H4908" t="s">
        <v>3621</v>
      </c>
    </row>
    <row r="4909" spans="3:8" x14ac:dyDescent="0.2">
      <c r="G4909" t="str">
        <f>"43909.92	"</f>
        <v xml:space="preserve">43909.92	</v>
      </c>
      <c r="H4909" t="s">
        <v>3622</v>
      </c>
    </row>
    <row r="4910" spans="3:8" x14ac:dyDescent="0.2">
      <c r="G4910" t="str">
        <f>"43909.93	"</f>
        <v xml:space="preserve">43909.93	</v>
      </c>
      <c r="H4910" t="s">
        <v>3623</v>
      </c>
    </row>
    <row r="4911" spans="3:8" x14ac:dyDescent="0.2">
      <c r="G4911" t="str">
        <f>"43909.94	"</f>
        <v xml:space="preserve">43909.94	</v>
      </c>
      <c r="H4911" t="s">
        <v>3624</v>
      </c>
    </row>
    <row r="4912" spans="3:8" x14ac:dyDescent="0.2">
      <c r="G4912" t="str">
        <f>"43909.95	"</f>
        <v xml:space="preserve">43909.95	</v>
      </c>
      <c r="H4912" t="s">
        <v>3625</v>
      </c>
    </row>
    <row r="4913" spans="1:8" x14ac:dyDescent="0.2">
      <c r="G4913" t="str">
        <f>"43909.96	"</f>
        <v xml:space="preserve">43909.96	</v>
      </c>
      <c r="H4913" t="s">
        <v>3626</v>
      </c>
    </row>
    <row r="4914" spans="1:8" x14ac:dyDescent="0.2">
      <c r="G4914" t="str">
        <f>"43909.99	"</f>
        <v xml:space="preserve">43909.99	</v>
      </c>
      <c r="H4914" t="s">
        <v>3617</v>
      </c>
    </row>
    <row r="4915" spans="1:8" x14ac:dyDescent="0.2">
      <c r="A4915" t="s">
        <v>3627</v>
      </c>
      <c r="H4915" t="s">
        <v>3628</v>
      </c>
    </row>
    <row r="4916" spans="1:8" x14ac:dyDescent="0.2">
      <c r="B4916" t="str">
        <f>"45"</f>
        <v>45</v>
      </c>
      <c r="H4916" t="s">
        <v>3629</v>
      </c>
    </row>
    <row r="4917" spans="1:8" x14ac:dyDescent="0.2">
      <c r="C4917" t="str">
        <f>"451"</f>
        <v>451</v>
      </c>
      <c r="H4917" t="s">
        <v>3630</v>
      </c>
    </row>
    <row r="4918" spans="1:8" x14ac:dyDescent="0.2">
      <c r="D4918" t="str">
        <f>"4510"</f>
        <v>4510</v>
      </c>
      <c r="H4918" t="s">
        <v>3630</v>
      </c>
    </row>
    <row r="4919" spans="1:8" x14ac:dyDescent="0.2">
      <c r="E4919" t="str">
        <f>"45101"</f>
        <v>45101</v>
      </c>
      <c r="H4919" t="s">
        <v>3631</v>
      </c>
    </row>
    <row r="4920" spans="1:8" x14ac:dyDescent="0.2">
      <c r="F4920" t="str">
        <f>"45101.1"</f>
        <v>45101.1</v>
      </c>
      <c r="H4920" t="s">
        <v>3632</v>
      </c>
    </row>
    <row r="4921" spans="1:8" x14ac:dyDescent="0.2">
      <c r="G4921" t="str">
        <f>"45101.11"</f>
        <v>45101.11</v>
      </c>
      <c r="H4921" t="s">
        <v>3633</v>
      </c>
    </row>
    <row r="4922" spans="1:8" x14ac:dyDescent="0.2">
      <c r="G4922" t="str">
        <f>"45101.19"</f>
        <v>45101.19</v>
      </c>
      <c r="H4922" t="s">
        <v>3634</v>
      </c>
    </row>
    <row r="4923" spans="1:8" x14ac:dyDescent="0.2">
      <c r="F4923" t="str">
        <f>"45101.2"</f>
        <v>45101.2</v>
      </c>
      <c r="H4923" t="s">
        <v>3635</v>
      </c>
    </row>
    <row r="4924" spans="1:8" x14ac:dyDescent="0.2">
      <c r="G4924" t="str">
        <f>"45101.21"</f>
        <v>45101.21</v>
      </c>
      <c r="H4924" t="s">
        <v>3636</v>
      </c>
    </row>
    <row r="4925" spans="1:8" x14ac:dyDescent="0.2">
      <c r="G4925" t="str">
        <f>"45101.29"</f>
        <v>45101.29</v>
      </c>
      <c r="H4925" t="s">
        <v>3637</v>
      </c>
    </row>
    <row r="4926" spans="1:8" x14ac:dyDescent="0.2">
      <c r="F4926" t="str">
        <f>"45101.3"</f>
        <v>45101.3</v>
      </c>
      <c r="H4926" t="s">
        <v>3638</v>
      </c>
    </row>
    <row r="4927" spans="1:8" x14ac:dyDescent="0.2">
      <c r="G4927" t="str">
        <f>"45101.31"</f>
        <v>45101.31</v>
      </c>
      <c r="H4927" t="s">
        <v>3639</v>
      </c>
    </row>
    <row r="4928" spans="1:8" x14ac:dyDescent="0.2">
      <c r="G4928" t="str">
        <f>"45101.39"</f>
        <v>45101.39</v>
      </c>
      <c r="H4928" t="s">
        <v>3640</v>
      </c>
    </row>
    <row r="4929" spans="5:8" x14ac:dyDescent="0.2">
      <c r="F4929" t="str">
        <f>"45101.4"</f>
        <v>45101.4</v>
      </c>
      <c r="H4929" t="s">
        <v>3641</v>
      </c>
    </row>
    <row r="4930" spans="5:8" x14ac:dyDescent="0.2">
      <c r="G4930" t="str">
        <f>"45101.41"</f>
        <v>45101.41</v>
      </c>
      <c r="H4930" t="s">
        <v>3642</v>
      </c>
    </row>
    <row r="4931" spans="5:8" x14ac:dyDescent="0.2">
      <c r="G4931" t="str">
        <f>"45101.49"</f>
        <v>45101.49</v>
      </c>
      <c r="H4931" t="s">
        <v>3643</v>
      </c>
    </row>
    <row r="4932" spans="5:8" x14ac:dyDescent="0.2">
      <c r="E4932" t="str">
        <f>"45102"</f>
        <v>45102</v>
      </c>
      <c r="H4932" t="s">
        <v>3644</v>
      </c>
    </row>
    <row r="4933" spans="5:8" x14ac:dyDescent="0.2">
      <c r="F4933" t="str">
        <f>"45102.1"</f>
        <v>45102.1</v>
      </c>
      <c r="H4933" t="s">
        <v>3645</v>
      </c>
    </row>
    <row r="4934" spans="5:8" x14ac:dyDescent="0.2">
      <c r="G4934" t="str">
        <f>"45102.11"</f>
        <v>45102.11</v>
      </c>
      <c r="H4934" t="s">
        <v>3646</v>
      </c>
    </row>
    <row r="4935" spans="5:8" x14ac:dyDescent="0.2">
      <c r="G4935" t="str">
        <f>"45102.19"</f>
        <v>45102.19</v>
      </c>
      <c r="H4935" t="s">
        <v>3647</v>
      </c>
    </row>
    <row r="4936" spans="5:8" x14ac:dyDescent="0.2">
      <c r="F4936" t="str">
        <f>"45102.2"</f>
        <v>45102.2</v>
      </c>
      <c r="H4936" t="s">
        <v>3648</v>
      </c>
    </row>
    <row r="4937" spans="5:8" x14ac:dyDescent="0.2">
      <c r="G4937" t="str">
        <f>"45102.21"</f>
        <v>45102.21</v>
      </c>
      <c r="H4937" t="s">
        <v>3649</v>
      </c>
    </row>
    <row r="4938" spans="5:8" x14ac:dyDescent="0.2">
      <c r="G4938" t="str">
        <f>"45102.29"</f>
        <v>45102.29</v>
      </c>
      <c r="H4938" t="s">
        <v>3650</v>
      </c>
    </row>
    <row r="4939" spans="5:8" x14ac:dyDescent="0.2">
      <c r="F4939" t="str">
        <f>"45102.3"</f>
        <v>45102.3</v>
      </c>
      <c r="H4939" t="s">
        <v>3651</v>
      </c>
    </row>
    <row r="4940" spans="5:8" x14ac:dyDescent="0.2">
      <c r="G4940" t="str">
        <f>"45102.31"</f>
        <v>45102.31</v>
      </c>
      <c r="H4940" t="s">
        <v>3652</v>
      </c>
    </row>
    <row r="4941" spans="5:8" x14ac:dyDescent="0.2">
      <c r="G4941" t="str">
        <f>"45102.39"</f>
        <v>45102.39</v>
      </c>
      <c r="H4941" t="s">
        <v>3653</v>
      </c>
    </row>
    <row r="4942" spans="5:8" x14ac:dyDescent="0.2">
      <c r="F4942" t="str">
        <f>"45102.4"</f>
        <v>45102.4</v>
      </c>
      <c r="H4942" t="s">
        <v>3654</v>
      </c>
    </row>
    <row r="4943" spans="5:8" x14ac:dyDescent="0.2">
      <c r="G4943" t="str">
        <f>"45102.41"</f>
        <v>45102.41</v>
      </c>
      <c r="H4943" t="s">
        <v>3655</v>
      </c>
    </row>
    <row r="4944" spans="5:8" x14ac:dyDescent="0.2">
      <c r="G4944" t="str">
        <f>"45102.49"</f>
        <v>45102.49</v>
      </c>
      <c r="H4944" t="s">
        <v>3656</v>
      </c>
    </row>
    <row r="4945" spans="5:8" x14ac:dyDescent="0.2">
      <c r="E4945" t="str">
        <f>"45103"</f>
        <v>45103</v>
      </c>
      <c r="H4945" t="s">
        <v>3657</v>
      </c>
    </row>
    <row r="4946" spans="5:8" x14ac:dyDescent="0.2">
      <c r="F4946" t="str">
        <f>"45103.1"</f>
        <v>45103.1</v>
      </c>
      <c r="H4946" t="s">
        <v>3658</v>
      </c>
    </row>
    <row r="4947" spans="5:8" x14ac:dyDescent="0.2">
      <c r="G4947" t="str">
        <f>"45103.11"</f>
        <v>45103.11</v>
      </c>
      <c r="H4947" t="s">
        <v>3659</v>
      </c>
    </row>
    <row r="4948" spans="5:8" x14ac:dyDescent="0.2">
      <c r="G4948" t="str">
        <f>"45103.19"</f>
        <v>45103.19</v>
      </c>
      <c r="H4948" t="s">
        <v>3660</v>
      </c>
    </row>
    <row r="4949" spans="5:8" x14ac:dyDescent="0.2">
      <c r="F4949" t="str">
        <f>"45103.2"</f>
        <v>45103.2</v>
      </c>
      <c r="H4949" t="s">
        <v>3661</v>
      </c>
    </row>
    <row r="4950" spans="5:8" x14ac:dyDescent="0.2">
      <c r="G4950" t="str">
        <f>"45103.21"</f>
        <v>45103.21</v>
      </c>
      <c r="H4950" t="s">
        <v>3662</v>
      </c>
    </row>
    <row r="4951" spans="5:8" x14ac:dyDescent="0.2">
      <c r="G4951" t="str">
        <f>"45103.29"</f>
        <v>45103.29</v>
      </c>
      <c r="H4951" t="s">
        <v>3663</v>
      </c>
    </row>
    <row r="4952" spans="5:8" x14ac:dyDescent="0.2">
      <c r="F4952" t="str">
        <f>"45103.3"</f>
        <v>45103.3</v>
      </c>
      <c r="H4952" t="s">
        <v>3664</v>
      </c>
    </row>
    <row r="4953" spans="5:8" x14ac:dyDescent="0.2">
      <c r="G4953" t="str">
        <f>"45103.31"</f>
        <v>45103.31</v>
      </c>
      <c r="H4953" t="s">
        <v>3665</v>
      </c>
    </row>
    <row r="4954" spans="5:8" x14ac:dyDescent="0.2">
      <c r="G4954" t="str">
        <f>"45103.39"</f>
        <v>45103.39</v>
      </c>
      <c r="H4954" t="s">
        <v>3666</v>
      </c>
    </row>
    <row r="4955" spans="5:8" x14ac:dyDescent="0.2">
      <c r="F4955" t="str">
        <f>"45103.4"</f>
        <v>45103.4</v>
      </c>
      <c r="H4955" t="s">
        <v>3667</v>
      </c>
    </row>
    <row r="4956" spans="5:8" x14ac:dyDescent="0.2">
      <c r="G4956" t="str">
        <f>"45103.41"</f>
        <v>45103.41</v>
      </c>
      <c r="H4956" t="s">
        <v>3668</v>
      </c>
    </row>
    <row r="4957" spans="5:8" x14ac:dyDescent="0.2">
      <c r="G4957" t="str">
        <f>"45103.49"</f>
        <v>45103.49</v>
      </c>
      <c r="H4957" t="s">
        <v>3669</v>
      </c>
    </row>
    <row r="4958" spans="5:8" x14ac:dyDescent="0.2">
      <c r="E4958" t="str">
        <f>"45104"</f>
        <v>45104</v>
      </c>
      <c r="H4958" t="s">
        <v>3670</v>
      </c>
    </row>
    <row r="4959" spans="5:8" x14ac:dyDescent="0.2">
      <c r="F4959" t="str">
        <f>"45104.1"</f>
        <v>45104.1</v>
      </c>
      <c r="H4959" t="s">
        <v>3671</v>
      </c>
    </row>
    <row r="4960" spans="5:8" x14ac:dyDescent="0.2">
      <c r="G4960" t="str">
        <f>"45104.11"</f>
        <v>45104.11</v>
      </c>
      <c r="H4960" t="s">
        <v>3672</v>
      </c>
    </row>
    <row r="4961" spans="3:8" x14ac:dyDescent="0.2">
      <c r="G4961" t="str">
        <f>"45104.19"</f>
        <v>45104.19</v>
      </c>
      <c r="H4961" t="s">
        <v>3673</v>
      </c>
    </row>
    <row r="4962" spans="3:8" x14ac:dyDescent="0.2">
      <c r="F4962" t="str">
        <f>"45104.2"</f>
        <v>45104.2</v>
      </c>
      <c r="H4962" t="s">
        <v>3674</v>
      </c>
    </row>
    <row r="4963" spans="3:8" x14ac:dyDescent="0.2">
      <c r="G4963" t="str">
        <f>"45104.21"</f>
        <v>45104.21</v>
      </c>
      <c r="H4963" t="s">
        <v>3675</v>
      </c>
    </row>
    <row r="4964" spans="3:8" x14ac:dyDescent="0.2">
      <c r="G4964" t="str">
        <f>"45104.29"</f>
        <v>45104.29</v>
      </c>
      <c r="H4964" t="s">
        <v>3676</v>
      </c>
    </row>
    <row r="4965" spans="3:8" x14ac:dyDescent="0.2">
      <c r="F4965" t="str">
        <f>"45104.3"</f>
        <v>45104.3</v>
      </c>
      <c r="H4965" t="s">
        <v>3677</v>
      </c>
    </row>
    <row r="4966" spans="3:8" x14ac:dyDescent="0.2">
      <c r="G4966" t="str">
        <f>"45104.31"</f>
        <v>45104.31</v>
      </c>
      <c r="H4966" t="s">
        <v>3678</v>
      </c>
    </row>
    <row r="4967" spans="3:8" x14ac:dyDescent="0.2">
      <c r="G4967" t="str">
        <f>"45104.39"</f>
        <v>45104.39</v>
      </c>
      <c r="H4967" t="s">
        <v>3679</v>
      </c>
    </row>
    <row r="4968" spans="3:8" x14ac:dyDescent="0.2">
      <c r="F4968" t="str">
        <f>"45104.4"</f>
        <v>45104.4</v>
      </c>
      <c r="H4968" t="s">
        <v>3680</v>
      </c>
    </row>
    <row r="4969" spans="3:8" x14ac:dyDescent="0.2">
      <c r="G4969" t="str">
        <f>"45104.41"</f>
        <v>45104.41</v>
      </c>
      <c r="H4969" t="s">
        <v>3681</v>
      </c>
    </row>
    <row r="4970" spans="3:8" x14ac:dyDescent="0.2">
      <c r="G4970" t="str">
        <f>"45104.49"</f>
        <v>45104.49</v>
      </c>
      <c r="H4970" t="s">
        <v>3682</v>
      </c>
    </row>
    <row r="4971" spans="3:8" x14ac:dyDescent="0.2">
      <c r="C4971" t="str">
        <f>"452"</f>
        <v>452</v>
      </c>
      <c r="H4971" t="s">
        <v>3683</v>
      </c>
    </row>
    <row r="4972" spans="3:8" x14ac:dyDescent="0.2">
      <c r="D4972" t="str">
        <f>"4520"</f>
        <v>4520</v>
      </c>
      <c r="H4972" t="s">
        <v>3683</v>
      </c>
    </row>
    <row r="4973" spans="3:8" x14ac:dyDescent="0.2">
      <c r="E4973" t="str">
        <f>"45201"</f>
        <v>45201</v>
      </c>
      <c r="H4973" t="s">
        <v>3684</v>
      </c>
    </row>
    <row r="4974" spans="3:8" x14ac:dyDescent="0.2">
      <c r="F4974" t="str">
        <f>"45201.1"</f>
        <v>45201.1</v>
      </c>
      <c r="H4974" t="s">
        <v>3685</v>
      </c>
    </row>
    <row r="4975" spans="3:8" x14ac:dyDescent="0.2">
      <c r="G4975" t="str">
        <f>"45201.11"</f>
        <v>45201.11</v>
      </c>
      <c r="H4975" t="s">
        <v>3686</v>
      </c>
    </row>
    <row r="4976" spans="3:8" x14ac:dyDescent="0.2">
      <c r="G4976" t="str">
        <f>"45201.12"</f>
        <v>45201.12</v>
      </c>
      <c r="H4976" t="s">
        <v>3687</v>
      </c>
    </row>
    <row r="4977" spans="3:8" x14ac:dyDescent="0.2">
      <c r="G4977" t="str">
        <f>"45201.13"</f>
        <v>45201.13</v>
      </c>
      <c r="H4977" t="s">
        <v>3688</v>
      </c>
    </row>
    <row r="4978" spans="3:8" x14ac:dyDescent="0.2">
      <c r="F4978" t="str">
        <f>"45201.2"</f>
        <v>45201.2</v>
      </c>
      <c r="H4978" t="s">
        <v>3689</v>
      </c>
    </row>
    <row r="4979" spans="3:8" x14ac:dyDescent="0.2">
      <c r="G4979" t="str">
        <f>"45201.21"</f>
        <v>45201.21</v>
      </c>
      <c r="H4979" t="s">
        <v>3690</v>
      </c>
    </row>
    <row r="4980" spans="3:8" x14ac:dyDescent="0.2">
      <c r="G4980" t="str">
        <f>"45201.22"</f>
        <v>45201.22</v>
      </c>
      <c r="H4980" t="s">
        <v>3691</v>
      </c>
    </row>
    <row r="4981" spans="3:8" x14ac:dyDescent="0.2">
      <c r="E4981" t="str">
        <f>"45202"</f>
        <v>45202</v>
      </c>
      <c r="H4981" t="s">
        <v>3692</v>
      </c>
    </row>
    <row r="4982" spans="3:8" x14ac:dyDescent="0.2">
      <c r="F4982" t="str">
        <f>"45202.0"</f>
        <v>45202.0</v>
      </c>
      <c r="H4982" t="s">
        <v>3692</v>
      </c>
    </row>
    <row r="4983" spans="3:8" x14ac:dyDescent="0.2">
      <c r="G4983" t="str">
        <f>"45202.01"</f>
        <v>45202.01</v>
      </c>
      <c r="H4983" t="s">
        <v>3693</v>
      </c>
    </row>
    <row r="4984" spans="3:8" x14ac:dyDescent="0.2">
      <c r="G4984" t="str">
        <f>"45202.02"</f>
        <v>45202.02</v>
      </c>
      <c r="H4984" t="s">
        <v>3694</v>
      </c>
    </row>
    <row r="4985" spans="3:8" x14ac:dyDescent="0.2">
      <c r="E4985" t="str">
        <f>"45203"</f>
        <v>45203</v>
      </c>
      <c r="H4985" t="s">
        <v>3695</v>
      </c>
    </row>
    <row r="4986" spans="3:8" x14ac:dyDescent="0.2">
      <c r="F4986" t="str">
        <f>"45203.0"</f>
        <v>45203.0</v>
      </c>
      <c r="H4986" t="s">
        <v>3695</v>
      </c>
    </row>
    <row r="4987" spans="3:8" x14ac:dyDescent="0.2">
      <c r="G4987" t="str">
        <f>"45203.00"</f>
        <v>45203.00</v>
      </c>
      <c r="H4987" t="s">
        <v>3695</v>
      </c>
    </row>
    <row r="4988" spans="3:8" x14ac:dyDescent="0.2">
      <c r="C4988" t="str">
        <f>"453"</f>
        <v>453</v>
      </c>
      <c r="H4988" t="s">
        <v>3696</v>
      </c>
    </row>
    <row r="4989" spans="3:8" x14ac:dyDescent="0.2">
      <c r="D4989" t="str">
        <f>"4530"</f>
        <v>4530</v>
      </c>
      <c r="H4989" t="s">
        <v>3696</v>
      </c>
    </row>
    <row r="4990" spans="3:8" x14ac:dyDescent="0.2">
      <c r="E4990" t="str">
        <f>"45301"</f>
        <v>45301</v>
      </c>
      <c r="H4990" t="s">
        <v>3697</v>
      </c>
    </row>
    <row r="4991" spans="3:8" x14ac:dyDescent="0.2">
      <c r="F4991" t="str">
        <f>"45301.1"</f>
        <v>45301.1</v>
      </c>
      <c r="H4991" t="s">
        <v>3697</v>
      </c>
    </row>
    <row r="4992" spans="3:8" x14ac:dyDescent="0.2">
      <c r="G4992" t="str">
        <f>"45301.11"</f>
        <v>45301.11</v>
      </c>
      <c r="H4992" t="s">
        <v>3698</v>
      </c>
    </row>
    <row r="4993" spans="5:8" x14ac:dyDescent="0.2">
      <c r="G4993" t="str">
        <f>"45301.19"</f>
        <v>45301.19</v>
      </c>
      <c r="H4993" t="s">
        <v>3699</v>
      </c>
    </row>
    <row r="4994" spans="5:8" x14ac:dyDescent="0.2">
      <c r="F4994" t="str">
        <f>"45301.2"</f>
        <v>45301.2</v>
      </c>
      <c r="H4994" t="s">
        <v>3700</v>
      </c>
    </row>
    <row r="4995" spans="5:8" x14ac:dyDescent="0.2">
      <c r="G4995" t="str">
        <f>"45301.20"</f>
        <v>45301.20</v>
      </c>
      <c r="H4995" t="s">
        <v>3700</v>
      </c>
    </row>
    <row r="4996" spans="5:8" x14ac:dyDescent="0.2">
      <c r="E4996" t="str">
        <f>"45302"</f>
        <v>45302</v>
      </c>
      <c r="H4996" t="s">
        <v>3701</v>
      </c>
    </row>
    <row r="4997" spans="5:8" x14ac:dyDescent="0.2">
      <c r="F4997" t="str">
        <f>"45302.1"</f>
        <v>45302.1</v>
      </c>
      <c r="H4997" t="s">
        <v>3702</v>
      </c>
    </row>
    <row r="4998" spans="5:8" x14ac:dyDescent="0.2">
      <c r="G4998" t="str">
        <f>"45302.11"</f>
        <v>45302.11</v>
      </c>
      <c r="H4998" t="s">
        <v>3703</v>
      </c>
    </row>
    <row r="4999" spans="5:8" x14ac:dyDescent="0.2">
      <c r="G4999" t="str">
        <f>"45302.19"</f>
        <v>45302.19</v>
      </c>
      <c r="H4999" t="s">
        <v>3704</v>
      </c>
    </row>
    <row r="5000" spans="5:8" x14ac:dyDescent="0.2">
      <c r="F5000" t="str">
        <f>"45302.2"</f>
        <v>45302.2</v>
      </c>
      <c r="H5000" t="s">
        <v>3705</v>
      </c>
    </row>
    <row r="5001" spans="5:8" x14ac:dyDescent="0.2">
      <c r="G5001" t="str">
        <f>"45302.21"</f>
        <v>45302.21</v>
      </c>
      <c r="H5001" t="s">
        <v>3706</v>
      </c>
    </row>
    <row r="5002" spans="5:8" x14ac:dyDescent="0.2">
      <c r="G5002" t="str">
        <f>"45302.22"</f>
        <v>45302.22</v>
      </c>
      <c r="H5002" t="s">
        <v>3707</v>
      </c>
    </row>
    <row r="5003" spans="5:8" x14ac:dyDescent="0.2">
      <c r="G5003" t="str">
        <f>"45302.29"</f>
        <v>45302.29</v>
      </c>
      <c r="H5003" t="s">
        <v>3708</v>
      </c>
    </row>
    <row r="5004" spans="5:8" x14ac:dyDescent="0.2">
      <c r="E5004" t="str">
        <f>"45303"</f>
        <v>45303</v>
      </c>
      <c r="H5004" t="s">
        <v>3709</v>
      </c>
    </row>
    <row r="5005" spans="5:8" x14ac:dyDescent="0.2">
      <c r="F5005" t="str">
        <f>"45303.1"</f>
        <v>45303.1</v>
      </c>
      <c r="H5005" t="s">
        <v>3710</v>
      </c>
    </row>
    <row r="5006" spans="5:8" x14ac:dyDescent="0.2">
      <c r="G5006" t="str">
        <f>"45303.11"</f>
        <v>45303.11</v>
      </c>
      <c r="H5006" t="s">
        <v>3711</v>
      </c>
    </row>
    <row r="5007" spans="5:8" x14ac:dyDescent="0.2">
      <c r="G5007" t="str">
        <f>"45303.19"</f>
        <v>45303.19</v>
      </c>
      <c r="H5007" t="s">
        <v>3712</v>
      </c>
    </row>
    <row r="5008" spans="5:8" x14ac:dyDescent="0.2">
      <c r="F5008" t="str">
        <f>"45303.2"</f>
        <v>45303.2</v>
      </c>
      <c r="H5008" t="s">
        <v>3713</v>
      </c>
    </row>
    <row r="5009" spans="3:8" x14ac:dyDescent="0.2">
      <c r="G5009" t="str">
        <f>"45303.20"</f>
        <v>45303.20</v>
      </c>
      <c r="H5009" t="s">
        <v>3713</v>
      </c>
    </row>
    <row r="5010" spans="3:8" x14ac:dyDescent="0.2">
      <c r="F5010" t="str">
        <f>"45303.3"</f>
        <v>45303.3</v>
      </c>
      <c r="H5010" t="s">
        <v>3714</v>
      </c>
    </row>
    <row r="5011" spans="3:8" x14ac:dyDescent="0.2">
      <c r="G5011" t="str">
        <f>"45303.31"</f>
        <v>45303.31</v>
      </c>
      <c r="H5011" t="s">
        <v>3715</v>
      </c>
    </row>
    <row r="5012" spans="3:8" x14ac:dyDescent="0.2">
      <c r="G5012" t="str">
        <f>"45303.39"</f>
        <v>45303.39</v>
      </c>
      <c r="H5012" t="s">
        <v>3716</v>
      </c>
    </row>
    <row r="5013" spans="3:8" x14ac:dyDescent="0.2">
      <c r="F5013" t="str">
        <f>"45303.4"</f>
        <v>45303.4</v>
      </c>
      <c r="H5013" t="s">
        <v>3717</v>
      </c>
    </row>
    <row r="5014" spans="3:8" x14ac:dyDescent="0.2">
      <c r="G5014" t="str">
        <f>"45303.41"</f>
        <v>45303.41</v>
      </c>
      <c r="H5014" t="s">
        <v>3718</v>
      </c>
    </row>
    <row r="5015" spans="3:8" x14ac:dyDescent="0.2">
      <c r="G5015" t="str">
        <f>"45303.42"</f>
        <v>45303.42</v>
      </c>
      <c r="H5015" t="s">
        <v>3719</v>
      </c>
    </row>
    <row r="5016" spans="3:8" x14ac:dyDescent="0.2">
      <c r="G5016" t="str">
        <f>"45303.49"</f>
        <v>45303.49</v>
      </c>
      <c r="H5016" t="s">
        <v>3720</v>
      </c>
    </row>
    <row r="5017" spans="3:8" x14ac:dyDescent="0.2">
      <c r="C5017" t="str">
        <f>"454"</f>
        <v>454</v>
      </c>
      <c r="H5017" t="s">
        <v>3721</v>
      </c>
    </row>
    <row r="5018" spans="3:8" x14ac:dyDescent="0.2">
      <c r="D5018" t="str">
        <f>"4540"</f>
        <v>4540</v>
      </c>
      <c r="H5018" t="s">
        <v>3721</v>
      </c>
    </row>
    <row r="5019" spans="3:8" x14ac:dyDescent="0.2">
      <c r="E5019" t="str">
        <f>"45401"</f>
        <v>45401</v>
      </c>
      <c r="H5019" t="s">
        <v>3722</v>
      </c>
    </row>
    <row r="5020" spans="3:8" x14ac:dyDescent="0.2">
      <c r="F5020" t="str">
        <f>"45401.1"</f>
        <v>45401.1</v>
      </c>
      <c r="H5020" t="s">
        <v>3723</v>
      </c>
    </row>
    <row r="5021" spans="3:8" x14ac:dyDescent="0.2">
      <c r="G5021" t="str">
        <f>"45401.10"</f>
        <v>45401.10</v>
      </c>
      <c r="H5021" t="s">
        <v>3723</v>
      </c>
    </row>
    <row r="5022" spans="3:8" x14ac:dyDescent="0.2">
      <c r="F5022" t="str">
        <f>"45401.2"</f>
        <v>45401.2</v>
      </c>
      <c r="H5022" t="s">
        <v>3724</v>
      </c>
    </row>
    <row r="5023" spans="3:8" x14ac:dyDescent="0.2">
      <c r="G5023" t="str">
        <f>"45401.20"</f>
        <v>45401.20</v>
      </c>
      <c r="H5023" t="s">
        <v>3724</v>
      </c>
    </row>
    <row r="5024" spans="3:8" x14ac:dyDescent="0.2">
      <c r="F5024" t="str">
        <f>"45401.3"</f>
        <v>45401.3</v>
      </c>
      <c r="H5024" t="s">
        <v>3725</v>
      </c>
    </row>
    <row r="5025" spans="5:8" x14ac:dyDescent="0.2">
      <c r="G5025" t="str">
        <f>"45401.30"</f>
        <v>45401.30</v>
      </c>
      <c r="H5025" t="s">
        <v>3725</v>
      </c>
    </row>
    <row r="5026" spans="5:8" x14ac:dyDescent="0.2">
      <c r="F5026" t="str">
        <f>"45401.4"</f>
        <v>45401.4</v>
      </c>
      <c r="H5026" t="s">
        <v>3726</v>
      </c>
    </row>
    <row r="5027" spans="5:8" x14ac:dyDescent="0.2">
      <c r="G5027" t="str">
        <f>"45401.40"</f>
        <v>45401.40</v>
      </c>
      <c r="H5027" t="s">
        <v>3726</v>
      </c>
    </row>
    <row r="5028" spans="5:8" x14ac:dyDescent="0.2">
      <c r="E5028" t="str">
        <f>"45402"</f>
        <v>45402</v>
      </c>
      <c r="H5028" t="s">
        <v>3727</v>
      </c>
    </row>
    <row r="5029" spans="5:8" x14ac:dyDescent="0.2">
      <c r="F5029" t="str">
        <f>"45402.1"</f>
        <v>45402.1</v>
      </c>
      <c r="H5029" t="s">
        <v>3727</v>
      </c>
    </row>
    <row r="5030" spans="5:8" x14ac:dyDescent="0.2">
      <c r="G5030" t="str">
        <f>"45402.10"</f>
        <v>45402.10</v>
      </c>
      <c r="H5030" t="s">
        <v>3727</v>
      </c>
    </row>
    <row r="5031" spans="5:8" x14ac:dyDescent="0.2">
      <c r="F5031" t="str">
        <f>"45402.2"</f>
        <v>45402.2</v>
      </c>
      <c r="H5031" t="s">
        <v>3728</v>
      </c>
    </row>
    <row r="5032" spans="5:8" x14ac:dyDescent="0.2">
      <c r="G5032" t="str">
        <f>"45402.20"</f>
        <v>45402.20</v>
      </c>
      <c r="H5032" t="s">
        <v>3728</v>
      </c>
    </row>
    <row r="5033" spans="5:8" x14ac:dyDescent="0.2">
      <c r="E5033" t="str">
        <f>"45403"</f>
        <v>45403</v>
      </c>
      <c r="H5033" t="s">
        <v>3729</v>
      </c>
    </row>
    <row r="5034" spans="5:8" x14ac:dyDescent="0.2">
      <c r="F5034" t="str">
        <f>"45403.1"</f>
        <v>45403.1</v>
      </c>
      <c r="H5034" t="s">
        <v>3730</v>
      </c>
    </row>
    <row r="5035" spans="5:8" x14ac:dyDescent="0.2">
      <c r="G5035" t="str">
        <f>"45403.10"</f>
        <v>45403.10</v>
      </c>
      <c r="H5035" t="s">
        <v>3730</v>
      </c>
    </row>
    <row r="5036" spans="5:8" x14ac:dyDescent="0.2">
      <c r="F5036" t="str">
        <f>"45403.9"</f>
        <v>45403.9</v>
      </c>
      <c r="H5036" t="s">
        <v>3731</v>
      </c>
    </row>
    <row r="5037" spans="5:8" x14ac:dyDescent="0.2">
      <c r="G5037" t="str">
        <f>"45403.90"</f>
        <v>45403.90</v>
      </c>
      <c r="H5037" t="s">
        <v>3731</v>
      </c>
    </row>
    <row r="5038" spans="5:8" x14ac:dyDescent="0.2">
      <c r="E5038" t="str">
        <f>"45404"</f>
        <v>45404</v>
      </c>
      <c r="H5038" t="s">
        <v>3732</v>
      </c>
    </row>
    <row r="5039" spans="5:8" x14ac:dyDescent="0.2">
      <c r="F5039" t="str">
        <f>"45404.1"</f>
        <v>45404.1</v>
      </c>
      <c r="H5039" t="s">
        <v>3733</v>
      </c>
    </row>
    <row r="5040" spans="5:8" x14ac:dyDescent="0.2">
      <c r="G5040" t="str">
        <f>"45404.10"</f>
        <v>45404.10</v>
      </c>
      <c r="H5040" t="s">
        <v>3733</v>
      </c>
    </row>
    <row r="5041" spans="2:8" x14ac:dyDescent="0.2">
      <c r="F5041" t="str">
        <f>"45404.2"</f>
        <v>45404.2</v>
      </c>
      <c r="H5041" t="s">
        <v>3734</v>
      </c>
    </row>
    <row r="5042" spans="2:8" x14ac:dyDescent="0.2">
      <c r="G5042" t="str">
        <f>"45404.20"</f>
        <v>45404.20</v>
      </c>
      <c r="H5042" t="s">
        <v>3734</v>
      </c>
    </row>
    <row r="5043" spans="2:8" x14ac:dyDescent="0.2">
      <c r="F5043" t="str">
        <f>"45404.3"</f>
        <v>45404.3</v>
      </c>
      <c r="H5043" t="s">
        <v>3735</v>
      </c>
    </row>
    <row r="5044" spans="2:8" x14ac:dyDescent="0.2">
      <c r="G5044" t="str">
        <f>"45404.30"</f>
        <v>45404.30</v>
      </c>
      <c r="H5044" t="s">
        <v>3735</v>
      </c>
    </row>
    <row r="5045" spans="2:8" x14ac:dyDescent="0.2">
      <c r="F5045" t="str">
        <f>"45404.4"</f>
        <v>45404.4</v>
      </c>
      <c r="H5045" t="s">
        <v>3736</v>
      </c>
    </row>
    <row r="5046" spans="2:8" x14ac:dyDescent="0.2">
      <c r="G5046" t="str">
        <f>"45404.40"</f>
        <v>45404.40</v>
      </c>
      <c r="H5046" t="s">
        <v>3736</v>
      </c>
    </row>
    <row r="5047" spans="2:8" x14ac:dyDescent="0.2">
      <c r="E5047" t="str">
        <f>"45405"</f>
        <v>45405</v>
      </c>
      <c r="H5047" t="s">
        <v>3737</v>
      </c>
    </row>
    <row r="5048" spans="2:8" x14ac:dyDescent="0.2">
      <c r="F5048" t="str">
        <f>"45405.0"</f>
        <v>45405.0</v>
      </c>
      <c r="H5048" t="s">
        <v>3737</v>
      </c>
    </row>
    <row r="5049" spans="2:8" x14ac:dyDescent="0.2">
      <c r="G5049" t="str">
        <f>"45405.00"</f>
        <v>45405.00</v>
      </c>
      <c r="H5049" t="s">
        <v>3737</v>
      </c>
    </row>
    <row r="5050" spans="2:8" x14ac:dyDescent="0.2">
      <c r="B5050" t="str">
        <f>"46"</f>
        <v>46</v>
      </c>
      <c r="H5050" t="s">
        <v>3738</v>
      </c>
    </row>
    <row r="5051" spans="2:8" x14ac:dyDescent="0.2">
      <c r="C5051" t="str">
        <f>"461"</f>
        <v>461</v>
      </c>
      <c r="H5051" t="s">
        <v>3739</v>
      </c>
    </row>
    <row r="5052" spans="2:8" x14ac:dyDescent="0.2">
      <c r="D5052" t="str">
        <f>"4610"</f>
        <v>4610</v>
      </c>
      <c r="H5052" t="s">
        <v>3739</v>
      </c>
    </row>
    <row r="5053" spans="2:8" x14ac:dyDescent="0.2">
      <c r="E5053" t="str">
        <f>"46101"</f>
        <v>46101</v>
      </c>
      <c r="H5053" t="s">
        <v>3740</v>
      </c>
    </row>
    <row r="5054" spans="2:8" x14ac:dyDescent="0.2">
      <c r="F5054" t="str">
        <f>"46101.0"</f>
        <v>46101.0</v>
      </c>
      <c r="H5054" t="s">
        <v>3740</v>
      </c>
    </row>
    <row r="5055" spans="2:8" x14ac:dyDescent="0.2">
      <c r="G5055" t="str">
        <f>"46101.01"</f>
        <v>46101.01</v>
      </c>
      <c r="H5055" t="s">
        <v>3741</v>
      </c>
    </row>
    <row r="5056" spans="2:8" x14ac:dyDescent="0.2">
      <c r="G5056" t="str">
        <f>"46101.02"</f>
        <v>46101.02</v>
      </c>
      <c r="H5056" t="s">
        <v>3742</v>
      </c>
    </row>
    <row r="5057" spans="5:8" x14ac:dyDescent="0.2">
      <c r="G5057" t="str">
        <f>"46101.09"</f>
        <v>46101.09</v>
      </c>
      <c r="H5057" t="s">
        <v>3743</v>
      </c>
    </row>
    <row r="5058" spans="5:8" x14ac:dyDescent="0.2">
      <c r="E5058" t="str">
        <f>"46102"</f>
        <v>46102</v>
      </c>
      <c r="H5058" t="s">
        <v>3744</v>
      </c>
    </row>
    <row r="5059" spans="5:8" x14ac:dyDescent="0.2">
      <c r="F5059" t="str">
        <f>"46102.0"</f>
        <v>46102.0</v>
      </c>
      <c r="H5059" t="s">
        <v>3744</v>
      </c>
    </row>
    <row r="5060" spans="5:8" x14ac:dyDescent="0.2">
      <c r="G5060" t="str">
        <f>"46102.01"</f>
        <v>46102.01</v>
      </c>
      <c r="H5060" t="s">
        <v>3745</v>
      </c>
    </row>
    <row r="5061" spans="5:8" x14ac:dyDescent="0.2">
      <c r="G5061" t="str">
        <f>"46102.02"</f>
        <v>46102.02</v>
      </c>
      <c r="H5061" t="s">
        <v>3746</v>
      </c>
    </row>
    <row r="5062" spans="5:8" x14ac:dyDescent="0.2">
      <c r="G5062" t="str">
        <f>"46102.03"</f>
        <v>46102.03</v>
      </c>
      <c r="H5062" t="s">
        <v>3747</v>
      </c>
    </row>
    <row r="5063" spans="5:8" x14ac:dyDescent="0.2">
      <c r="E5063" t="str">
        <f>"46103"</f>
        <v>46103</v>
      </c>
      <c r="H5063" t="s">
        <v>3748</v>
      </c>
    </row>
    <row r="5064" spans="5:8" x14ac:dyDescent="0.2">
      <c r="F5064" t="str">
        <f>"46103.1"</f>
        <v>46103.1</v>
      </c>
      <c r="H5064" t="s">
        <v>3749</v>
      </c>
    </row>
    <row r="5065" spans="5:8" x14ac:dyDescent="0.2">
      <c r="G5065" t="str">
        <f>"46103.11"</f>
        <v>46103.11</v>
      </c>
      <c r="H5065" t="s">
        <v>3750</v>
      </c>
    </row>
    <row r="5066" spans="5:8" x14ac:dyDescent="0.2">
      <c r="G5066" t="str">
        <f>"46103.12"</f>
        <v>46103.12</v>
      </c>
      <c r="H5066" t="s">
        <v>3751</v>
      </c>
    </row>
    <row r="5067" spans="5:8" x14ac:dyDescent="0.2">
      <c r="G5067" t="str">
        <f>"46103.19"</f>
        <v>46103.19</v>
      </c>
      <c r="H5067" t="s">
        <v>3752</v>
      </c>
    </row>
    <row r="5068" spans="5:8" x14ac:dyDescent="0.2">
      <c r="F5068" t="str">
        <f>"46103.2"</f>
        <v>46103.2</v>
      </c>
      <c r="H5068" t="s">
        <v>3753</v>
      </c>
    </row>
    <row r="5069" spans="5:8" x14ac:dyDescent="0.2">
      <c r="G5069" t="str">
        <f>"46103.21"</f>
        <v>46103.21</v>
      </c>
      <c r="H5069" t="s">
        <v>3754</v>
      </c>
    </row>
    <row r="5070" spans="5:8" x14ac:dyDescent="0.2">
      <c r="G5070" t="str">
        <f>"46103.22"</f>
        <v>46103.22</v>
      </c>
      <c r="H5070" t="s">
        <v>3755</v>
      </c>
    </row>
    <row r="5071" spans="5:8" x14ac:dyDescent="0.2">
      <c r="F5071" t="str">
        <f>"46103.3"</f>
        <v>46103.3</v>
      </c>
      <c r="H5071" t="s">
        <v>3756</v>
      </c>
    </row>
    <row r="5072" spans="5:8" x14ac:dyDescent="0.2">
      <c r="G5072" t="str">
        <f>"46103.30"</f>
        <v>46103.30</v>
      </c>
      <c r="H5072" t="s">
        <v>3756</v>
      </c>
    </row>
    <row r="5073" spans="5:8" x14ac:dyDescent="0.2">
      <c r="F5073" t="str">
        <f>"46103.4"</f>
        <v>46103.4</v>
      </c>
      <c r="H5073" t="s">
        <v>3757</v>
      </c>
    </row>
    <row r="5074" spans="5:8" x14ac:dyDescent="0.2">
      <c r="G5074" t="str">
        <f>"46103.40"</f>
        <v>46103.40</v>
      </c>
      <c r="H5074" t="s">
        <v>3757</v>
      </c>
    </row>
    <row r="5075" spans="5:8" x14ac:dyDescent="0.2">
      <c r="F5075" t="str">
        <f>"46103.9"</f>
        <v>46103.9</v>
      </c>
      <c r="H5075" t="s">
        <v>3758</v>
      </c>
    </row>
    <row r="5076" spans="5:8" x14ac:dyDescent="0.2">
      <c r="G5076" t="str">
        <f>"46103.90"</f>
        <v>46103.90</v>
      </c>
      <c r="H5076" t="s">
        <v>3758</v>
      </c>
    </row>
    <row r="5077" spans="5:8" x14ac:dyDescent="0.2">
      <c r="E5077" t="str">
        <f>"46104"</f>
        <v>46104</v>
      </c>
      <c r="H5077" t="s">
        <v>3759</v>
      </c>
    </row>
    <row r="5078" spans="5:8" x14ac:dyDescent="0.2">
      <c r="F5078" t="str">
        <f>"46104.0"</f>
        <v>46104.0</v>
      </c>
      <c r="H5078" t="s">
        <v>3760</v>
      </c>
    </row>
    <row r="5079" spans="5:8" x14ac:dyDescent="0.2">
      <c r="G5079" t="str">
        <f>"46104.01"</f>
        <v>46104.01</v>
      </c>
      <c r="H5079" t="s">
        <v>3761</v>
      </c>
    </row>
    <row r="5080" spans="5:8" x14ac:dyDescent="0.2">
      <c r="G5080" t="str">
        <f>"46104.02"</f>
        <v>46104.02</v>
      </c>
      <c r="H5080" t="s">
        <v>3762</v>
      </c>
    </row>
    <row r="5081" spans="5:8" x14ac:dyDescent="0.2">
      <c r="E5081" t="str">
        <f>"46105"</f>
        <v>46105</v>
      </c>
      <c r="H5081" t="s">
        <v>3763</v>
      </c>
    </row>
    <row r="5082" spans="5:8" x14ac:dyDescent="0.2">
      <c r="F5082" t="str">
        <f>"46105.0"</f>
        <v>46105.0</v>
      </c>
      <c r="H5082" t="s">
        <v>3763</v>
      </c>
    </row>
    <row r="5083" spans="5:8" x14ac:dyDescent="0.2">
      <c r="G5083" t="str">
        <f>"46105.01"</f>
        <v>46105.01</v>
      </c>
      <c r="H5083" t="s">
        <v>3764</v>
      </c>
    </row>
    <row r="5084" spans="5:8" x14ac:dyDescent="0.2">
      <c r="G5084" t="str">
        <f>"46105.02"</f>
        <v>46105.02</v>
      </c>
      <c r="H5084" t="s">
        <v>3765</v>
      </c>
    </row>
    <row r="5085" spans="5:8" x14ac:dyDescent="0.2">
      <c r="G5085" t="str">
        <f>"46105.09"</f>
        <v>46105.09</v>
      </c>
      <c r="H5085" t="s">
        <v>3766</v>
      </c>
    </row>
    <row r="5086" spans="5:8" x14ac:dyDescent="0.2">
      <c r="E5086" t="str">
        <f>"46106"</f>
        <v>46106</v>
      </c>
      <c r="H5086" t="s">
        <v>3767</v>
      </c>
    </row>
    <row r="5087" spans="5:8" x14ac:dyDescent="0.2">
      <c r="F5087" t="str">
        <f>"46106.0"</f>
        <v>46106.0</v>
      </c>
      <c r="H5087" t="s">
        <v>3767</v>
      </c>
    </row>
    <row r="5088" spans="5:8" x14ac:dyDescent="0.2">
      <c r="G5088" t="str">
        <f>"46106.01"</f>
        <v>46106.01</v>
      </c>
      <c r="H5088" t="s">
        <v>3768</v>
      </c>
    </row>
    <row r="5089" spans="3:8" x14ac:dyDescent="0.2">
      <c r="G5089" t="str">
        <f>"46106.02"</f>
        <v>46106.02</v>
      </c>
      <c r="H5089" t="s">
        <v>3769</v>
      </c>
    </row>
    <row r="5090" spans="3:8" x14ac:dyDescent="0.2">
      <c r="E5090" t="str">
        <f>"46107"</f>
        <v>46107</v>
      </c>
      <c r="H5090" t="s">
        <v>3770</v>
      </c>
    </row>
    <row r="5091" spans="3:8" x14ac:dyDescent="0.2">
      <c r="F5091" t="str">
        <f>"46107.0"</f>
        <v>46107.0</v>
      </c>
      <c r="H5091" t="s">
        <v>3770</v>
      </c>
    </row>
    <row r="5092" spans="3:8" x14ac:dyDescent="0.2">
      <c r="G5092" t="str">
        <f>"46107.01"</f>
        <v>46107.01</v>
      </c>
      <c r="H5092" t="s">
        <v>3771</v>
      </c>
    </row>
    <row r="5093" spans="3:8" x14ac:dyDescent="0.2">
      <c r="G5093" t="str">
        <f>"46107.09"</f>
        <v>46107.09</v>
      </c>
      <c r="H5093" t="s">
        <v>3772</v>
      </c>
    </row>
    <row r="5094" spans="3:8" x14ac:dyDescent="0.2">
      <c r="E5094" t="str">
        <f>"46108"</f>
        <v>46108</v>
      </c>
      <c r="H5094" t="s">
        <v>3773</v>
      </c>
    </row>
    <row r="5095" spans="3:8" x14ac:dyDescent="0.2">
      <c r="F5095" t="str">
        <f>"46108.0"</f>
        <v>46108.0</v>
      </c>
      <c r="H5095" t="s">
        <v>3773</v>
      </c>
    </row>
    <row r="5096" spans="3:8" x14ac:dyDescent="0.2">
      <c r="G5096" t="str">
        <f>"46108.01"</f>
        <v>46108.01</v>
      </c>
      <c r="H5096" t="s">
        <v>3774</v>
      </c>
    </row>
    <row r="5097" spans="3:8" x14ac:dyDescent="0.2">
      <c r="G5097" t="str">
        <f>"46108.09"</f>
        <v>46108.09</v>
      </c>
      <c r="H5097" t="s">
        <v>3775</v>
      </c>
    </row>
    <row r="5098" spans="3:8" x14ac:dyDescent="0.2">
      <c r="E5098" t="str">
        <f>"46109"</f>
        <v>46109</v>
      </c>
      <c r="H5098" t="s">
        <v>3776</v>
      </c>
    </row>
    <row r="5099" spans="3:8" x14ac:dyDescent="0.2">
      <c r="F5099" t="str">
        <f>"46109.0"</f>
        <v>46109.0</v>
      </c>
      <c r="H5099" t="s">
        <v>3776</v>
      </c>
    </row>
    <row r="5100" spans="3:8" x14ac:dyDescent="0.2">
      <c r="G5100" t="str">
        <f>"46109.00"</f>
        <v>46109.00</v>
      </c>
      <c r="H5100" t="s">
        <v>3776</v>
      </c>
    </row>
    <row r="5101" spans="3:8" x14ac:dyDescent="0.2">
      <c r="C5101" t="str">
        <f>"462"</f>
        <v>462</v>
      </c>
      <c r="H5101" t="s">
        <v>3777</v>
      </c>
    </row>
    <row r="5102" spans="3:8" x14ac:dyDescent="0.2">
      <c r="D5102" t="str">
        <f>"4620"</f>
        <v>4620</v>
      </c>
      <c r="H5102" t="s">
        <v>3777</v>
      </c>
    </row>
    <row r="5103" spans="3:8" x14ac:dyDescent="0.2">
      <c r="E5103" t="str">
        <f>"46201"</f>
        <v>46201</v>
      </c>
      <c r="H5103" t="s">
        <v>3778</v>
      </c>
    </row>
    <row r="5104" spans="3:8" x14ac:dyDescent="0.2">
      <c r="F5104" t="str">
        <f>"46201.0"</f>
        <v>46201.0</v>
      </c>
      <c r="H5104" t="s">
        <v>3778</v>
      </c>
    </row>
    <row r="5105" spans="5:8" x14ac:dyDescent="0.2">
      <c r="G5105" t="str">
        <f>"46201.00"</f>
        <v>46201.00</v>
      </c>
      <c r="H5105" t="s">
        <v>3778</v>
      </c>
    </row>
    <row r="5106" spans="5:8" x14ac:dyDescent="0.2">
      <c r="E5106" t="str">
        <f>"46202"</f>
        <v>46202</v>
      </c>
      <c r="H5106" t="s">
        <v>3779</v>
      </c>
    </row>
    <row r="5107" spans="5:8" x14ac:dyDescent="0.2">
      <c r="F5107" t="str">
        <f>"46202.0"</f>
        <v>46202.0</v>
      </c>
      <c r="H5107" t="s">
        <v>3779</v>
      </c>
    </row>
    <row r="5108" spans="5:8" x14ac:dyDescent="0.2">
      <c r="G5108" t="str">
        <f>"46202.00"</f>
        <v>46202.00</v>
      </c>
      <c r="H5108" t="s">
        <v>3779</v>
      </c>
    </row>
    <row r="5109" spans="5:8" x14ac:dyDescent="0.2">
      <c r="E5109" t="str">
        <f>"46203"</f>
        <v>46203</v>
      </c>
      <c r="H5109" t="s">
        <v>3780</v>
      </c>
    </row>
    <row r="5110" spans="5:8" x14ac:dyDescent="0.2">
      <c r="F5110" t="str">
        <f>"46203.0"</f>
        <v>46203.0</v>
      </c>
      <c r="H5110" t="s">
        <v>3780</v>
      </c>
    </row>
    <row r="5111" spans="5:8" x14ac:dyDescent="0.2">
      <c r="G5111" t="str">
        <f>"46203.00"</f>
        <v>46203.00</v>
      </c>
      <c r="H5111" t="s">
        <v>3780</v>
      </c>
    </row>
    <row r="5112" spans="5:8" x14ac:dyDescent="0.2">
      <c r="E5112" t="str">
        <f>"46204"</f>
        <v>46204</v>
      </c>
      <c r="H5112" t="s">
        <v>3781</v>
      </c>
    </row>
    <row r="5113" spans="5:8" x14ac:dyDescent="0.2">
      <c r="F5113" t="str">
        <f>"46204.0"</f>
        <v>46204.0</v>
      </c>
      <c r="H5113" t="s">
        <v>3781</v>
      </c>
    </row>
    <row r="5114" spans="5:8" x14ac:dyDescent="0.2">
      <c r="G5114" t="str">
        <f>"46204.00"</f>
        <v>46204.00</v>
      </c>
      <c r="H5114" t="s">
        <v>3781</v>
      </c>
    </row>
    <row r="5115" spans="5:8" x14ac:dyDescent="0.2">
      <c r="E5115" t="str">
        <f>"46205"</f>
        <v>46205</v>
      </c>
      <c r="H5115" t="s">
        <v>3782</v>
      </c>
    </row>
    <row r="5116" spans="5:8" x14ac:dyDescent="0.2">
      <c r="F5116" t="str">
        <f>"46205.0"</f>
        <v>46205.0</v>
      </c>
      <c r="H5116" t="s">
        <v>3782</v>
      </c>
    </row>
    <row r="5117" spans="5:8" x14ac:dyDescent="0.2">
      <c r="G5117" t="str">
        <f>"46205.01"</f>
        <v>46205.01</v>
      </c>
      <c r="H5117" t="s">
        <v>3783</v>
      </c>
    </row>
    <row r="5118" spans="5:8" x14ac:dyDescent="0.2">
      <c r="G5118" t="str">
        <f>"46205.02"</f>
        <v>46205.02</v>
      </c>
      <c r="H5118" t="s">
        <v>3784</v>
      </c>
    </row>
    <row r="5119" spans="5:8" x14ac:dyDescent="0.2">
      <c r="E5119" t="str">
        <f>"46206"</f>
        <v>46206</v>
      </c>
      <c r="H5119" t="s">
        <v>3785</v>
      </c>
    </row>
    <row r="5120" spans="5:8" x14ac:dyDescent="0.2">
      <c r="F5120" t="str">
        <f>"46206.0"</f>
        <v>46206.0</v>
      </c>
      <c r="H5120" t="s">
        <v>3785</v>
      </c>
    </row>
    <row r="5121" spans="3:8" x14ac:dyDescent="0.2">
      <c r="G5121" t="str">
        <f>"46206.00"</f>
        <v>46206.00</v>
      </c>
      <c r="H5121" t="s">
        <v>3785</v>
      </c>
    </row>
    <row r="5122" spans="3:8" x14ac:dyDescent="0.2">
      <c r="E5122" t="str">
        <f>"46209"</f>
        <v>46209</v>
      </c>
      <c r="H5122" t="s">
        <v>3786</v>
      </c>
    </row>
    <row r="5123" spans="3:8" x14ac:dyDescent="0.2">
      <c r="F5123" t="str">
        <f>"46209.0"</f>
        <v>46209.0</v>
      </c>
      <c r="H5123" t="s">
        <v>3786</v>
      </c>
    </row>
    <row r="5124" spans="3:8" x14ac:dyDescent="0.2">
      <c r="G5124" t="str">
        <f>"46209.01"</f>
        <v>46209.01</v>
      </c>
      <c r="H5124" t="s">
        <v>3787</v>
      </c>
    </row>
    <row r="5125" spans="3:8" x14ac:dyDescent="0.2">
      <c r="G5125" t="str">
        <f>"46209.09"</f>
        <v>46209.09</v>
      </c>
      <c r="H5125" t="s">
        <v>3788</v>
      </c>
    </row>
    <row r="5126" spans="3:8" x14ac:dyDescent="0.2">
      <c r="C5126" t="str">
        <f>"463"</f>
        <v>463</v>
      </c>
      <c r="H5126" t="s">
        <v>3789</v>
      </c>
    </row>
    <row r="5127" spans="3:8" x14ac:dyDescent="0.2">
      <c r="D5127" t="str">
        <f>"4631"</f>
        <v>4631</v>
      </c>
      <c r="H5127" t="s">
        <v>3790</v>
      </c>
    </row>
    <row r="5128" spans="3:8" x14ac:dyDescent="0.2">
      <c r="E5128" t="str">
        <f>"46311"</f>
        <v>46311</v>
      </c>
      <c r="H5128" t="s">
        <v>3791</v>
      </c>
    </row>
    <row r="5129" spans="3:8" x14ac:dyDescent="0.2">
      <c r="F5129" t="str">
        <f>"46311.0"</f>
        <v>46311.0</v>
      </c>
      <c r="H5129" t="s">
        <v>3791</v>
      </c>
    </row>
    <row r="5130" spans="3:8" x14ac:dyDescent="0.2">
      <c r="G5130" t="str">
        <f>"46311.01"</f>
        <v>46311.01</v>
      </c>
      <c r="H5130" t="s">
        <v>3792</v>
      </c>
    </row>
    <row r="5131" spans="3:8" x14ac:dyDescent="0.2">
      <c r="G5131" t="str">
        <f>"46311.02"</f>
        <v>46311.02</v>
      </c>
      <c r="H5131" t="s">
        <v>3793</v>
      </c>
    </row>
    <row r="5132" spans="3:8" x14ac:dyDescent="0.2">
      <c r="E5132" t="str">
        <f>"46312"</f>
        <v>46312</v>
      </c>
      <c r="H5132" t="s">
        <v>3794</v>
      </c>
    </row>
    <row r="5133" spans="3:8" x14ac:dyDescent="0.2">
      <c r="F5133" t="str">
        <f>"46312.0"</f>
        <v>46312.0</v>
      </c>
      <c r="H5133" t="s">
        <v>3794</v>
      </c>
    </row>
    <row r="5134" spans="3:8" x14ac:dyDescent="0.2">
      <c r="G5134" t="str">
        <f>"46312.00"</f>
        <v>46312.00</v>
      </c>
      <c r="H5134" t="s">
        <v>3794</v>
      </c>
    </row>
    <row r="5135" spans="3:8" x14ac:dyDescent="0.2">
      <c r="E5135" t="str">
        <f>"46313"</f>
        <v>46313</v>
      </c>
      <c r="H5135" t="s">
        <v>3795</v>
      </c>
    </row>
    <row r="5136" spans="3:8" x14ac:dyDescent="0.2">
      <c r="F5136" t="str">
        <f>"46313.0"</f>
        <v>46313.0</v>
      </c>
      <c r="H5136" t="s">
        <v>3795</v>
      </c>
    </row>
    <row r="5137" spans="5:8" x14ac:dyDescent="0.2">
      <c r="G5137" t="str">
        <f>"46313.01"</f>
        <v>46313.01</v>
      </c>
      <c r="H5137" t="s">
        <v>3796</v>
      </c>
    </row>
    <row r="5138" spans="5:8" x14ac:dyDescent="0.2">
      <c r="G5138" t="str">
        <f>"46313.02"</f>
        <v>46313.02</v>
      </c>
      <c r="H5138" t="s">
        <v>3797</v>
      </c>
    </row>
    <row r="5139" spans="5:8" x14ac:dyDescent="0.2">
      <c r="E5139" t="str">
        <f>"46314"</f>
        <v>46314</v>
      </c>
      <c r="H5139" t="s">
        <v>3798</v>
      </c>
    </row>
    <row r="5140" spans="5:8" x14ac:dyDescent="0.2">
      <c r="F5140" t="str">
        <f>"46314.0"</f>
        <v>46314.0</v>
      </c>
      <c r="H5140" t="s">
        <v>3798</v>
      </c>
    </row>
    <row r="5141" spans="5:8" x14ac:dyDescent="0.2">
      <c r="G5141" t="str">
        <f>"46314.00"</f>
        <v>46314.00</v>
      </c>
      <c r="H5141" t="s">
        <v>3798</v>
      </c>
    </row>
    <row r="5142" spans="5:8" x14ac:dyDescent="0.2">
      <c r="E5142" t="str">
        <f>"46315"</f>
        <v>46315</v>
      </c>
      <c r="H5142" t="s">
        <v>3799</v>
      </c>
    </row>
    <row r="5143" spans="5:8" x14ac:dyDescent="0.2">
      <c r="F5143" t="str">
        <f>"46315.0"</f>
        <v>46315.0</v>
      </c>
      <c r="H5143" t="s">
        <v>3799</v>
      </c>
    </row>
    <row r="5144" spans="5:8" x14ac:dyDescent="0.2">
      <c r="G5144" t="str">
        <f>"46315.00"</f>
        <v>46315.00</v>
      </c>
      <c r="H5144" t="s">
        <v>3799</v>
      </c>
    </row>
    <row r="5145" spans="5:8" x14ac:dyDescent="0.2">
      <c r="E5145" t="str">
        <f>"46316"</f>
        <v>46316</v>
      </c>
      <c r="H5145" t="s">
        <v>3800</v>
      </c>
    </row>
    <row r="5146" spans="5:8" x14ac:dyDescent="0.2">
      <c r="F5146" t="str">
        <f>"46316.0"</f>
        <v>46316.0</v>
      </c>
      <c r="H5146" t="s">
        <v>3800</v>
      </c>
    </row>
    <row r="5147" spans="5:8" x14ac:dyDescent="0.2">
      <c r="G5147" t="str">
        <f>"46316.01"</f>
        <v>46316.01</v>
      </c>
      <c r="H5147" t="s">
        <v>3801</v>
      </c>
    </row>
    <row r="5148" spans="5:8" x14ac:dyDescent="0.2">
      <c r="G5148" t="str">
        <f>"46316.02"</f>
        <v>46316.02</v>
      </c>
      <c r="H5148" t="s">
        <v>3802</v>
      </c>
    </row>
    <row r="5149" spans="5:8" x14ac:dyDescent="0.2">
      <c r="G5149" t="str">
        <f>"46316.03"</f>
        <v>46316.03</v>
      </c>
      <c r="H5149" t="s">
        <v>3803</v>
      </c>
    </row>
    <row r="5150" spans="5:8" x14ac:dyDescent="0.2">
      <c r="E5150" t="str">
        <f>"46317"</f>
        <v>46317</v>
      </c>
      <c r="H5150" t="s">
        <v>3804</v>
      </c>
    </row>
    <row r="5151" spans="5:8" x14ac:dyDescent="0.2">
      <c r="F5151" t="str">
        <f>"46317.0"</f>
        <v>46317.0</v>
      </c>
      <c r="H5151" t="s">
        <v>3804</v>
      </c>
    </row>
    <row r="5152" spans="5:8" x14ac:dyDescent="0.2">
      <c r="G5152" t="str">
        <f>"46317.01"</f>
        <v>46317.01</v>
      </c>
      <c r="H5152" t="s">
        <v>3805</v>
      </c>
    </row>
    <row r="5153" spans="4:8" x14ac:dyDescent="0.2">
      <c r="G5153" t="str">
        <f>"46317.02"</f>
        <v>46317.02</v>
      </c>
      <c r="H5153" t="s">
        <v>3806</v>
      </c>
    </row>
    <row r="5154" spans="4:8" x14ac:dyDescent="0.2">
      <c r="E5154" t="str">
        <f>"46318"</f>
        <v>46318</v>
      </c>
      <c r="H5154" t="s">
        <v>3807</v>
      </c>
    </row>
    <row r="5155" spans="4:8" x14ac:dyDescent="0.2">
      <c r="F5155" t="str">
        <f>"46318.0"</f>
        <v>46318.0</v>
      </c>
      <c r="H5155" t="s">
        <v>3807</v>
      </c>
    </row>
    <row r="5156" spans="4:8" x14ac:dyDescent="0.2">
      <c r="G5156" t="str">
        <f>"46318.00"</f>
        <v>46318.00</v>
      </c>
      <c r="H5156" t="s">
        <v>3807</v>
      </c>
    </row>
    <row r="5157" spans="4:8" x14ac:dyDescent="0.2">
      <c r="E5157" t="str">
        <f>"46319"</f>
        <v>46319</v>
      </c>
      <c r="H5157" t="s">
        <v>3808</v>
      </c>
    </row>
    <row r="5158" spans="4:8" x14ac:dyDescent="0.2">
      <c r="F5158" t="str">
        <f>"46319.0"</f>
        <v>46319.0</v>
      </c>
      <c r="H5158" t="s">
        <v>3808</v>
      </c>
    </row>
    <row r="5159" spans="4:8" x14ac:dyDescent="0.2">
      <c r="G5159" t="str">
        <f>"46319.01"</f>
        <v>46319.01</v>
      </c>
      <c r="H5159" t="s">
        <v>3809</v>
      </c>
    </row>
    <row r="5160" spans="4:8" x14ac:dyDescent="0.2">
      <c r="G5160" t="str">
        <f>"46319.02"</f>
        <v>46319.02</v>
      </c>
      <c r="H5160" t="s">
        <v>3810</v>
      </c>
    </row>
    <row r="5161" spans="4:8" x14ac:dyDescent="0.2">
      <c r="G5161" t="str">
        <f>"46319.09"</f>
        <v>46319.09</v>
      </c>
      <c r="H5161" t="s">
        <v>3811</v>
      </c>
    </row>
    <row r="5162" spans="4:8" x14ac:dyDescent="0.2">
      <c r="D5162" t="str">
        <f>"4632"</f>
        <v>4632</v>
      </c>
      <c r="H5162" t="s">
        <v>3812</v>
      </c>
    </row>
    <row r="5163" spans="4:8" x14ac:dyDescent="0.2">
      <c r="E5163" t="str">
        <f>"46321"</f>
        <v>46321</v>
      </c>
      <c r="H5163" t="s">
        <v>3813</v>
      </c>
    </row>
    <row r="5164" spans="4:8" x14ac:dyDescent="0.2">
      <c r="F5164" t="str">
        <f>"46321.0"</f>
        <v>46321.0</v>
      </c>
      <c r="H5164" t="s">
        <v>3813</v>
      </c>
    </row>
    <row r="5165" spans="4:8" x14ac:dyDescent="0.2">
      <c r="G5165" t="str">
        <f>"46321.00"</f>
        <v>46321.00</v>
      </c>
      <c r="H5165" t="s">
        <v>3813</v>
      </c>
    </row>
    <row r="5166" spans="4:8" x14ac:dyDescent="0.2">
      <c r="E5166" t="str">
        <f>"46322"</f>
        <v>46322</v>
      </c>
      <c r="H5166" t="s">
        <v>3814</v>
      </c>
    </row>
    <row r="5167" spans="4:8" x14ac:dyDescent="0.2">
      <c r="F5167" t="str">
        <f>"46322.0"</f>
        <v>46322.0</v>
      </c>
      <c r="H5167" t="s">
        <v>3814</v>
      </c>
    </row>
    <row r="5168" spans="4:8" x14ac:dyDescent="0.2">
      <c r="G5168" t="str">
        <f>"46322.00"</f>
        <v>46322.00</v>
      </c>
      <c r="H5168" t="s">
        <v>3814</v>
      </c>
    </row>
    <row r="5169" spans="3:8" x14ac:dyDescent="0.2">
      <c r="E5169" t="str">
        <f>"46323"</f>
        <v>46323</v>
      </c>
      <c r="H5169" t="s">
        <v>3815</v>
      </c>
    </row>
    <row r="5170" spans="3:8" x14ac:dyDescent="0.2">
      <c r="F5170" t="str">
        <f>"46323.0"</f>
        <v>46323.0</v>
      </c>
      <c r="H5170" t="s">
        <v>3815</v>
      </c>
    </row>
    <row r="5171" spans="3:8" x14ac:dyDescent="0.2">
      <c r="G5171" t="str">
        <f>"46323.00"</f>
        <v>46323.00</v>
      </c>
      <c r="H5171" t="s">
        <v>3815</v>
      </c>
    </row>
    <row r="5172" spans="3:8" x14ac:dyDescent="0.2">
      <c r="C5172" t="str">
        <f>"464"</f>
        <v>464</v>
      </c>
      <c r="H5172" t="s">
        <v>3816</v>
      </c>
    </row>
    <row r="5173" spans="3:8" x14ac:dyDescent="0.2">
      <c r="D5173" t="str">
        <f>"4641"</f>
        <v>4641</v>
      </c>
      <c r="H5173" t="s">
        <v>3817</v>
      </c>
    </row>
    <row r="5174" spans="3:8" x14ac:dyDescent="0.2">
      <c r="E5174" t="str">
        <f>"46411"</f>
        <v>46411</v>
      </c>
      <c r="H5174" t="s">
        <v>3818</v>
      </c>
    </row>
    <row r="5175" spans="3:8" x14ac:dyDescent="0.2">
      <c r="F5175" t="str">
        <f>"46411.0"</f>
        <v>46411.0</v>
      </c>
      <c r="H5175" t="s">
        <v>3818</v>
      </c>
    </row>
    <row r="5176" spans="3:8" x14ac:dyDescent="0.2">
      <c r="G5176" t="str">
        <f>"46411.01"</f>
        <v>46411.01</v>
      </c>
      <c r="H5176" t="s">
        <v>3819</v>
      </c>
    </row>
    <row r="5177" spans="3:8" x14ac:dyDescent="0.2">
      <c r="G5177" t="str">
        <f>"46411.02"</f>
        <v>46411.02</v>
      </c>
      <c r="H5177" t="s">
        <v>3820</v>
      </c>
    </row>
    <row r="5178" spans="3:8" x14ac:dyDescent="0.2">
      <c r="E5178" t="str">
        <f>"46412"</f>
        <v>46412</v>
      </c>
      <c r="H5178" t="s">
        <v>3821</v>
      </c>
    </row>
    <row r="5179" spans="3:8" x14ac:dyDescent="0.2">
      <c r="F5179" t="str">
        <f>"46412.0"</f>
        <v>46412.0</v>
      </c>
      <c r="H5179" t="s">
        <v>3821</v>
      </c>
    </row>
    <row r="5180" spans="3:8" x14ac:dyDescent="0.2">
      <c r="G5180" t="str">
        <f>"46412.00"</f>
        <v>46412.00</v>
      </c>
      <c r="H5180" t="s">
        <v>3821</v>
      </c>
    </row>
    <row r="5181" spans="3:8" x14ac:dyDescent="0.2">
      <c r="E5181" t="str">
        <f>"46413"</f>
        <v>46413</v>
      </c>
      <c r="H5181" t="s">
        <v>3822</v>
      </c>
    </row>
    <row r="5182" spans="3:8" x14ac:dyDescent="0.2">
      <c r="F5182" t="str">
        <f>"46413.0"</f>
        <v>46413.0</v>
      </c>
      <c r="H5182" t="s">
        <v>3822</v>
      </c>
    </row>
    <row r="5183" spans="3:8" x14ac:dyDescent="0.2">
      <c r="G5183" t="str">
        <f>"46413.00"</f>
        <v>46413.00</v>
      </c>
      <c r="H5183" t="s">
        <v>3822</v>
      </c>
    </row>
    <row r="5184" spans="3:8" x14ac:dyDescent="0.2">
      <c r="E5184" t="str">
        <f>"46414"</f>
        <v>46414</v>
      </c>
      <c r="H5184" t="s">
        <v>3823</v>
      </c>
    </row>
    <row r="5185" spans="4:8" x14ac:dyDescent="0.2">
      <c r="F5185" t="str">
        <f>"46414.0"</f>
        <v>46414.0</v>
      </c>
      <c r="H5185" t="s">
        <v>3823</v>
      </c>
    </row>
    <row r="5186" spans="4:8" x14ac:dyDescent="0.2">
      <c r="G5186" t="str">
        <f>"46414.00"</f>
        <v>46414.00</v>
      </c>
      <c r="H5186" t="s">
        <v>3823</v>
      </c>
    </row>
    <row r="5187" spans="4:8" x14ac:dyDescent="0.2">
      <c r="E5187" t="str">
        <f>"46415"</f>
        <v>46415</v>
      </c>
      <c r="H5187" t="s">
        <v>3824</v>
      </c>
    </row>
    <row r="5188" spans="4:8" x14ac:dyDescent="0.2">
      <c r="F5188" t="str">
        <f>"46415.0"</f>
        <v>46415.0</v>
      </c>
      <c r="H5188" t="s">
        <v>3824</v>
      </c>
    </row>
    <row r="5189" spans="4:8" x14ac:dyDescent="0.2">
      <c r="G5189" t="str">
        <f>"46415.00"</f>
        <v>46415.00</v>
      </c>
      <c r="H5189" t="s">
        <v>3824</v>
      </c>
    </row>
    <row r="5190" spans="4:8" x14ac:dyDescent="0.2">
      <c r="D5190" t="str">
        <f>"4642"</f>
        <v>4642</v>
      </c>
      <c r="H5190" t="s">
        <v>3825</v>
      </c>
    </row>
    <row r="5191" spans="4:8" x14ac:dyDescent="0.2">
      <c r="E5191" t="str">
        <f>"46421"</f>
        <v>46421</v>
      </c>
      <c r="H5191" t="s">
        <v>3826</v>
      </c>
    </row>
    <row r="5192" spans="4:8" x14ac:dyDescent="0.2">
      <c r="F5192" t="str">
        <f>"46421.0"</f>
        <v>46421.0</v>
      </c>
      <c r="H5192" t="s">
        <v>3826</v>
      </c>
    </row>
    <row r="5193" spans="4:8" x14ac:dyDescent="0.2">
      <c r="G5193" t="str">
        <f>"46421.01"</f>
        <v>46421.01</v>
      </c>
      <c r="H5193" t="s">
        <v>3827</v>
      </c>
    </row>
    <row r="5194" spans="4:8" x14ac:dyDescent="0.2">
      <c r="G5194" t="str">
        <f>"46421.02"</f>
        <v>46421.02</v>
      </c>
      <c r="H5194" t="s">
        <v>3828</v>
      </c>
    </row>
    <row r="5195" spans="4:8" x14ac:dyDescent="0.2">
      <c r="E5195" t="str">
        <f>"46422"</f>
        <v>46422</v>
      </c>
      <c r="H5195" t="s">
        <v>3829</v>
      </c>
    </row>
    <row r="5196" spans="4:8" x14ac:dyDescent="0.2">
      <c r="F5196" t="str">
        <f>"46422.0"</f>
        <v>46422.0</v>
      </c>
      <c r="H5196" t="s">
        <v>3829</v>
      </c>
    </row>
    <row r="5197" spans="4:8" x14ac:dyDescent="0.2">
      <c r="G5197" t="str">
        <f>"46422.00"</f>
        <v>46422.00</v>
      </c>
      <c r="H5197" t="s">
        <v>3829</v>
      </c>
    </row>
    <row r="5198" spans="4:8" x14ac:dyDescent="0.2">
      <c r="D5198" t="str">
        <f>"4643"</f>
        <v>4643</v>
      </c>
      <c r="H5198" t="s">
        <v>3830</v>
      </c>
    </row>
    <row r="5199" spans="4:8" x14ac:dyDescent="0.2">
      <c r="E5199" t="str">
        <f>"46431"</f>
        <v>46431</v>
      </c>
      <c r="H5199" t="s">
        <v>3831</v>
      </c>
    </row>
    <row r="5200" spans="4:8" x14ac:dyDescent="0.2">
      <c r="F5200" t="str">
        <f>"46431.0"</f>
        <v>46431.0</v>
      </c>
      <c r="H5200" t="s">
        <v>3831</v>
      </c>
    </row>
    <row r="5201" spans="5:8" x14ac:dyDescent="0.2">
      <c r="G5201" t="str">
        <f>"46431.01"</f>
        <v>46431.01</v>
      </c>
      <c r="H5201" t="s">
        <v>3832</v>
      </c>
    </row>
    <row r="5202" spans="5:8" x14ac:dyDescent="0.2">
      <c r="G5202" t="str">
        <f>"46431.02"</f>
        <v>46431.02</v>
      </c>
      <c r="H5202" t="s">
        <v>3833</v>
      </c>
    </row>
    <row r="5203" spans="5:8" x14ac:dyDescent="0.2">
      <c r="G5203" t="str">
        <f>"46431.03"</f>
        <v>46431.03</v>
      </c>
      <c r="H5203" t="s">
        <v>3834</v>
      </c>
    </row>
    <row r="5204" spans="5:8" x14ac:dyDescent="0.2">
      <c r="E5204" t="str">
        <f>"46432"</f>
        <v>46432</v>
      </c>
      <c r="H5204" t="s">
        <v>3835</v>
      </c>
    </row>
    <row r="5205" spans="5:8" x14ac:dyDescent="0.2">
      <c r="F5205" t="str">
        <f>"46432.0"</f>
        <v>46432.0</v>
      </c>
      <c r="H5205" t="s">
        <v>3835</v>
      </c>
    </row>
    <row r="5206" spans="5:8" x14ac:dyDescent="0.2">
      <c r="G5206" t="str">
        <f>"46432.00"</f>
        <v>46432.00</v>
      </c>
      <c r="H5206" t="s">
        <v>3835</v>
      </c>
    </row>
    <row r="5207" spans="5:8" x14ac:dyDescent="0.2">
      <c r="E5207" t="str">
        <f>"46433"</f>
        <v>46433</v>
      </c>
      <c r="H5207" t="s">
        <v>3836</v>
      </c>
    </row>
    <row r="5208" spans="5:8" x14ac:dyDescent="0.2">
      <c r="F5208" t="str">
        <f>"46433.0"</f>
        <v>46433.0</v>
      </c>
      <c r="H5208" t="s">
        <v>3836</v>
      </c>
    </row>
    <row r="5209" spans="5:8" x14ac:dyDescent="0.2">
      <c r="G5209" t="str">
        <f>"46433.00"</f>
        <v>46433.00</v>
      </c>
      <c r="H5209" t="s">
        <v>3836</v>
      </c>
    </row>
    <row r="5210" spans="5:8" x14ac:dyDescent="0.2">
      <c r="E5210" t="str">
        <f>"46434"</f>
        <v>46434</v>
      </c>
      <c r="H5210" t="s">
        <v>3837</v>
      </c>
    </row>
    <row r="5211" spans="5:8" x14ac:dyDescent="0.2">
      <c r="F5211" t="str">
        <f>"46434.0"</f>
        <v>46434.0</v>
      </c>
      <c r="H5211" t="s">
        <v>3837</v>
      </c>
    </row>
    <row r="5212" spans="5:8" x14ac:dyDescent="0.2">
      <c r="G5212" t="str">
        <f>"46434.00"</f>
        <v>46434.00</v>
      </c>
      <c r="H5212" t="s">
        <v>3837</v>
      </c>
    </row>
    <row r="5213" spans="5:8" x14ac:dyDescent="0.2">
      <c r="E5213" t="str">
        <f>"46439"</f>
        <v>46439</v>
      </c>
      <c r="H5213" t="s">
        <v>3838</v>
      </c>
    </row>
    <row r="5214" spans="5:8" x14ac:dyDescent="0.2">
      <c r="F5214" t="str">
        <f>"46439.0"</f>
        <v>46439.0</v>
      </c>
      <c r="H5214" t="s">
        <v>3838</v>
      </c>
    </row>
    <row r="5215" spans="5:8" x14ac:dyDescent="0.2">
      <c r="G5215" t="str">
        <f>"46439.01"</f>
        <v>46439.01</v>
      </c>
      <c r="H5215" t="s">
        <v>3839</v>
      </c>
    </row>
    <row r="5216" spans="5:8" x14ac:dyDescent="0.2">
      <c r="G5216" t="str">
        <f>"46439.02"</f>
        <v>46439.02</v>
      </c>
      <c r="H5216" t="s">
        <v>3840</v>
      </c>
    </row>
    <row r="5217" spans="4:8" x14ac:dyDescent="0.2">
      <c r="G5217" t="str">
        <f>"46439.09"</f>
        <v>46439.09</v>
      </c>
      <c r="H5217" t="s">
        <v>3841</v>
      </c>
    </row>
    <row r="5218" spans="4:8" x14ac:dyDescent="0.2">
      <c r="D5218" t="str">
        <f>"4644"</f>
        <v>4644</v>
      </c>
      <c r="H5218" t="s">
        <v>3842</v>
      </c>
    </row>
    <row r="5219" spans="4:8" x14ac:dyDescent="0.2">
      <c r="E5219" t="str">
        <f>"46441"</f>
        <v>46441</v>
      </c>
      <c r="H5219" t="s">
        <v>3843</v>
      </c>
    </row>
    <row r="5220" spans="4:8" x14ac:dyDescent="0.2">
      <c r="F5220" t="str">
        <f>"46441.0"</f>
        <v>46441.0</v>
      </c>
      <c r="H5220" t="s">
        <v>3843</v>
      </c>
    </row>
    <row r="5221" spans="4:8" x14ac:dyDescent="0.2">
      <c r="G5221" t="str">
        <f>"46441.01"</f>
        <v>46441.01</v>
      </c>
      <c r="H5221" t="s">
        <v>3844</v>
      </c>
    </row>
    <row r="5222" spans="4:8" x14ac:dyDescent="0.2">
      <c r="G5222" t="str">
        <f>"46441.02"</f>
        <v>46441.02</v>
      </c>
      <c r="H5222" t="s">
        <v>3845</v>
      </c>
    </row>
    <row r="5223" spans="4:8" x14ac:dyDescent="0.2">
      <c r="E5223" t="str">
        <f>"46442"</f>
        <v>46442</v>
      </c>
      <c r="H5223" t="s">
        <v>3846</v>
      </c>
    </row>
    <row r="5224" spans="4:8" x14ac:dyDescent="0.2">
      <c r="F5224" t="str">
        <f>"46442.0"</f>
        <v>46442.0</v>
      </c>
      <c r="H5224" t="s">
        <v>3846</v>
      </c>
    </row>
    <row r="5225" spans="4:8" x14ac:dyDescent="0.2">
      <c r="G5225" t="str">
        <f>"46442.00"</f>
        <v>46442.00</v>
      </c>
      <c r="H5225" t="s">
        <v>3846</v>
      </c>
    </row>
    <row r="5226" spans="4:8" x14ac:dyDescent="0.2">
      <c r="E5226" t="str">
        <f>"46443"</f>
        <v>46443</v>
      </c>
      <c r="H5226" t="s">
        <v>3847</v>
      </c>
    </row>
    <row r="5227" spans="4:8" x14ac:dyDescent="0.2">
      <c r="F5227" t="str">
        <f>"46443.0"</f>
        <v>46443.0</v>
      </c>
      <c r="H5227" t="s">
        <v>3847</v>
      </c>
    </row>
    <row r="5228" spans="4:8" x14ac:dyDescent="0.2">
      <c r="G5228" t="str">
        <f>"46443.00"</f>
        <v>46443.00</v>
      </c>
      <c r="H5228" t="s">
        <v>3847</v>
      </c>
    </row>
    <row r="5229" spans="4:8" x14ac:dyDescent="0.2">
      <c r="D5229" t="str">
        <f>"4649"</f>
        <v>4649</v>
      </c>
      <c r="H5229" t="s">
        <v>3848</v>
      </c>
    </row>
    <row r="5230" spans="4:8" x14ac:dyDescent="0.2">
      <c r="E5230" t="str">
        <f>"46491"</f>
        <v>46491</v>
      </c>
      <c r="H5230" t="s">
        <v>3849</v>
      </c>
    </row>
    <row r="5231" spans="4:8" x14ac:dyDescent="0.2">
      <c r="F5231" t="str">
        <f>"46491.0"</f>
        <v>46491.0</v>
      </c>
      <c r="H5231" t="s">
        <v>3850</v>
      </c>
    </row>
    <row r="5232" spans="4:8" x14ac:dyDescent="0.2">
      <c r="G5232" t="str">
        <f>"46491.00"</f>
        <v>46491.00</v>
      </c>
      <c r="H5232" t="s">
        <v>3850</v>
      </c>
    </row>
    <row r="5233" spans="5:8" x14ac:dyDescent="0.2">
      <c r="E5233" t="str">
        <f>"46492"</f>
        <v>46492</v>
      </c>
      <c r="H5233" t="s">
        <v>3851</v>
      </c>
    </row>
    <row r="5234" spans="5:8" x14ac:dyDescent="0.2">
      <c r="F5234" t="str">
        <f>"46492.0"</f>
        <v>46492.0</v>
      </c>
      <c r="H5234" t="s">
        <v>3851</v>
      </c>
    </row>
    <row r="5235" spans="5:8" x14ac:dyDescent="0.2">
      <c r="G5235" t="str">
        <f>"46492.00"</f>
        <v>46492.00</v>
      </c>
      <c r="H5235" t="s">
        <v>3851</v>
      </c>
    </row>
    <row r="5236" spans="5:8" x14ac:dyDescent="0.2">
      <c r="E5236" t="str">
        <f>"46493"</f>
        <v>46493</v>
      </c>
      <c r="H5236" t="s">
        <v>3852</v>
      </c>
    </row>
    <row r="5237" spans="5:8" x14ac:dyDescent="0.2">
      <c r="F5237" t="str">
        <f>"46493.0"</f>
        <v>46493.0</v>
      </c>
      <c r="H5237" t="s">
        <v>3852</v>
      </c>
    </row>
    <row r="5238" spans="5:8" x14ac:dyDescent="0.2">
      <c r="G5238" t="str">
        <f>"46493.00"</f>
        <v>46493.00</v>
      </c>
      <c r="H5238" t="s">
        <v>3852</v>
      </c>
    </row>
    <row r="5239" spans="5:8" x14ac:dyDescent="0.2">
      <c r="E5239" t="str">
        <f>"46494"</f>
        <v>46494</v>
      </c>
      <c r="H5239" t="s">
        <v>3853</v>
      </c>
    </row>
    <row r="5240" spans="5:8" x14ac:dyDescent="0.2">
      <c r="F5240" t="str">
        <f>"46494.0"</f>
        <v>46494.0</v>
      </c>
      <c r="H5240" t="s">
        <v>3853</v>
      </c>
    </row>
    <row r="5241" spans="5:8" x14ac:dyDescent="0.2">
      <c r="G5241" t="str">
        <f>"46494.00"</f>
        <v>46494.00</v>
      </c>
      <c r="H5241" t="s">
        <v>3853</v>
      </c>
    </row>
    <row r="5242" spans="5:8" x14ac:dyDescent="0.2">
      <c r="E5242" t="str">
        <f>"46495"</f>
        <v>46495</v>
      </c>
      <c r="H5242" t="s">
        <v>3854</v>
      </c>
    </row>
    <row r="5243" spans="5:8" x14ac:dyDescent="0.2">
      <c r="F5243" t="str">
        <f>"46495.0"</f>
        <v>46495.0</v>
      </c>
      <c r="H5243" t="s">
        <v>3855</v>
      </c>
    </row>
    <row r="5244" spans="5:8" x14ac:dyDescent="0.2">
      <c r="G5244" t="str">
        <f>"46495.01"</f>
        <v>46495.01</v>
      </c>
      <c r="H5244" t="s">
        <v>3856</v>
      </c>
    </row>
    <row r="5245" spans="5:8" x14ac:dyDescent="0.2">
      <c r="G5245" t="str">
        <f>"46495.02"</f>
        <v>46495.02</v>
      </c>
      <c r="H5245" t="s">
        <v>3857</v>
      </c>
    </row>
    <row r="5246" spans="5:8" x14ac:dyDescent="0.2">
      <c r="E5246" t="str">
        <f>"46499"</f>
        <v>46499</v>
      </c>
      <c r="H5246" t="s">
        <v>3858</v>
      </c>
    </row>
    <row r="5247" spans="5:8" x14ac:dyDescent="0.2">
      <c r="F5247" t="str">
        <f>"46499.0"</f>
        <v>46499.0</v>
      </c>
      <c r="H5247" t="s">
        <v>3858</v>
      </c>
    </row>
    <row r="5248" spans="5:8" x14ac:dyDescent="0.2">
      <c r="G5248" t="str">
        <f>"46499.01"</f>
        <v>46499.01</v>
      </c>
      <c r="H5248" t="s">
        <v>3859</v>
      </c>
    </row>
    <row r="5249" spans="3:8" x14ac:dyDescent="0.2">
      <c r="G5249" t="str">
        <f>"46499.02"</f>
        <v>46499.02</v>
      </c>
      <c r="H5249" t="s">
        <v>3860</v>
      </c>
    </row>
    <row r="5250" spans="3:8" x14ac:dyDescent="0.2">
      <c r="G5250" t="str">
        <f>"46499.03"</f>
        <v>46499.03</v>
      </c>
      <c r="H5250" t="s">
        <v>3861</v>
      </c>
    </row>
    <row r="5251" spans="3:8" x14ac:dyDescent="0.2">
      <c r="G5251" t="str">
        <f>"46499.04"</f>
        <v>46499.04</v>
      </c>
      <c r="H5251" t="s">
        <v>3862</v>
      </c>
    </row>
    <row r="5252" spans="3:8" x14ac:dyDescent="0.2">
      <c r="G5252" t="str">
        <f>"46499.09"</f>
        <v>46499.09</v>
      </c>
      <c r="H5252" t="s">
        <v>3858</v>
      </c>
    </row>
    <row r="5253" spans="3:8" x14ac:dyDescent="0.2">
      <c r="C5253" t="str">
        <f>"465"</f>
        <v>465</v>
      </c>
      <c r="H5253" t="s">
        <v>3863</v>
      </c>
    </row>
    <row r="5254" spans="3:8" x14ac:dyDescent="0.2">
      <c r="D5254" t="str">
        <f>"4651"</f>
        <v>4651</v>
      </c>
      <c r="H5254" t="s">
        <v>3864</v>
      </c>
    </row>
    <row r="5255" spans="3:8" x14ac:dyDescent="0.2">
      <c r="E5255" t="str">
        <f>"46510"</f>
        <v>46510</v>
      </c>
      <c r="H5255" t="s">
        <v>3864</v>
      </c>
    </row>
    <row r="5256" spans="3:8" x14ac:dyDescent="0.2">
      <c r="F5256" t="str">
        <f>"46510.0"</f>
        <v>46510.0</v>
      </c>
      <c r="H5256" t="s">
        <v>3864</v>
      </c>
    </row>
    <row r="5257" spans="3:8" x14ac:dyDescent="0.2">
      <c r="G5257" t="str">
        <f>"46510.00"</f>
        <v>46510.00</v>
      </c>
      <c r="H5257" t="s">
        <v>3864</v>
      </c>
    </row>
    <row r="5258" spans="3:8" x14ac:dyDescent="0.2">
      <c r="D5258" t="str">
        <f>"4652"</f>
        <v>4652</v>
      </c>
      <c r="H5258" t="s">
        <v>3865</v>
      </c>
    </row>
    <row r="5259" spans="3:8" x14ac:dyDescent="0.2">
      <c r="E5259" t="str">
        <f>"46521"</f>
        <v>46521</v>
      </c>
      <c r="H5259" t="s">
        <v>3866</v>
      </c>
    </row>
    <row r="5260" spans="3:8" x14ac:dyDescent="0.2">
      <c r="F5260" t="str">
        <f>"46521.0"</f>
        <v>46521.0</v>
      </c>
      <c r="H5260" t="s">
        <v>3866</v>
      </c>
    </row>
    <row r="5261" spans="3:8" x14ac:dyDescent="0.2">
      <c r="G5261" t="str">
        <f>"46521.01"</f>
        <v>46521.01</v>
      </c>
      <c r="H5261" t="s">
        <v>3867</v>
      </c>
    </row>
    <row r="5262" spans="3:8" x14ac:dyDescent="0.2">
      <c r="G5262" t="str">
        <f>"46521.02"</f>
        <v>46521.02</v>
      </c>
      <c r="H5262" t="s">
        <v>3868</v>
      </c>
    </row>
    <row r="5263" spans="3:8" x14ac:dyDescent="0.2">
      <c r="E5263" t="str">
        <f>"46522"</f>
        <v>46522</v>
      </c>
      <c r="H5263" t="s">
        <v>3869</v>
      </c>
    </row>
    <row r="5264" spans="3:8" x14ac:dyDescent="0.2">
      <c r="F5264" t="str">
        <f>"46522.0"</f>
        <v>46522.0</v>
      </c>
      <c r="H5264" t="s">
        <v>3869</v>
      </c>
    </row>
    <row r="5265" spans="4:8" x14ac:dyDescent="0.2">
      <c r="G5265" t="str">
        <f>"46522.00"</f>
        <v>46522.00</v>
      </c>
      <c r="H5265" t="s">
        <v>3869</v>
      </c>
    </row>
    <row r="5266" spans="4:8" x14ac:dyDescent="0.2">
      <c r="D5266" t="str">
        <f>"4653"</f>
        <v>4653</v>
      </c>
      <c r="H5266" t="s">
        <v>3870</v>
      </c>
    </row>
    <row r="5267" spans="4:8" x14ac:dyDescent="0.2">
      <c r="E5267" t="str">
        <f>"46530"</f>
        <v>46530</v>
      </c>
      <c r="H5267" t="s">
        <v>3870</v>
      </c>
    </row>
    <row r="5268" spans="4:8" x14ac:dyDescent="0.2">
      <c r="F5268" t="str">
        <f>"46530.0"</f>
        <v>46530.0</v>
      </c>
      <c r="H5268" t="s">
        <v>3870</v>
      </c>
    </row>
    <row r="5269" spans="4:8" x14ac:dyDescent="0.2">
      <c r="G5269" t="str">
        <f>"46530.01"</f>
        <v>46530.01</v>
      </c>
      <c r="H5269" t="s">
        <v>3871</v>
      </c>
    </row>
    <row r="5270" spans="4:8" x14ac:dyDescent="0.2">
      <c r="G5270" t="str">
        <f>"46530.02"</f>
        <v>46530.02</v>
      </c>
      <c r="H5270" t="s">
        <v>3872</v>
      </c>
    </row>
    <row r="5271" spans="4:8" x14ac:dyDescent="0.2">
      <c r="D5271" t="str">
        <f>"4659"</f>
        <v>4659</v>
      </c>
      <c r="H5271" t="s">
        <v>3873</v>
      </c>
    </row>
    <row r="5272" spans="4:8" x14ac:dyDescent="0.2">
      <c r="E5272" t="str">
        <f>"46591"</f>
        <v>46591</v>
      </c>
      <c r="H5272" t="s">
        <v>3874</v>
      </c>
    </row>
    <row r="5273" spans="4:8" x14ac:dyDescent="0.2">
      <c r="F5273" t="str">
        <f>"46591.0"</f>
        <v>46591.0</v>
      </c>
      <c r="H5273" t="s">
        <v>3874</v>
      </c>
    </row>
    <row r="5274" spans="4:8" x14ac:dyDescent="0.2">
      <c r="G5274" t="str">
        <f>"46591.00"</f>
        <v>46591.00</v>
      </c>
      <c r="H5274" t="s">
        <v>3874</v>
      </c>
    </row>
    <row r="5275" spans="4:8" x14ac:dyDescent="0.2">
      <c r="E5275" t="str">
        <f>"46592"</f>
        <v>46592</v>
      </c>
      <c r="H5275" t="s">
        <v>3875</v>
      </c>
    </row>
    <row r="5276" spans="4:8" x14ac:dyDescent="0.2">
      <c r="F5276" t="str">
        <f>"46592.0"</f>
        <v>46592.0</v>
      </c>
      <c r="H5276" t="s">
        <v>3875</v>
      </c>
    </row>
    <row r="5277" spans="4:8" x14ac:dyDescent="0.2">
      <c r="G5277" t="str">
        <f>"46592.00"</f>
        <v>46592.00</v>
      </c>
      <c r="H5277" t="s">
        <v>3875</v>
      </c>
    </row>
    <row r="5278" spans="4:8" x14ac:dyDescent="0.2">
      <c r="E5278" t="str">
        <f>"46593"</f>
        <v>46593</v>
      </c>
      <c r="H5278" t="s">
        <v>3876</v>
      </c>
    </row>
    <row r="5279" spans="4:8" x14ac:dyDescent="0.2">
      <c r="F5279" t="str">
        <f>"46593.1"</f>
        <v>46593.1</v>
      </c>
      <c r="H5279" t="s">
        <v>3877</v>
      </c>
    </row>
    <row r="5280" spans="4:8" x14ac:dyDescent="0.2">
      <c r="G5280" t="str">
        <f>"46593.11"</f>
        <v>46593.11</v>
      </c>
      <c r="H5280" t="s">
        <v>3878</v>
      </c>
    </row>
    <row r="5281" spans="5:8" x14ac:dyDescent="0.2">
      <c r="G5281" t="str">
        <f>"46593.12"</f>
        <v>46593.12</v>
      </c>
      <c r="H5281" t="s">
        <v>3879</v>
      </c>
    </row>
    <row r="5282" spans="5:8" x14ac:dyDescent="0.2">
      <c r="G5282" t="str">
        <f>"46593.19"</f>
        <v>46593.19</v>
      </c>
      <c r="H5282" t="s">
        <v>3880</v>
      </c>
    </row>
    <row r="5283" spans="5:8" x14ac:dyDescent="0.2">
      <c r="F5283" t="str">
        <f>"46593.2"</f>
        <v>46593.2</v>
      </c>
      <c r="H5283" t="s">
        <v>3881</v>
      </c>
    </row>
    <row r="5284" spans="5:8" x14ac:dyDescent="0.2">
      <c r="G5284" t="str">
        <f>"46593.20"</f>
        <v>46593.20</v>
      </c>
      <c r="H5284" t="s">
        <v>3881</v>
      </c>
    </row>
    <row r="5285" spans="5:8" x14ac:dyDescent="0.2">
      <c r="F5285" t="str">
        <f>"46593.9"</f>
        <v>46593.9</v>
      </c>
      <c r="H5285" t="s">
        <v>3882</v>
      </c>
    </row>
    <row r="5286" spans="5:8" x14ac:dyDescent="0.2">
      <c r="G5286" t="str">
        <f>"46593.91"</f>
        <v>46593.91</v>
      </c>
      <c r="H5286" t="s">
        <v>3883</v>
      </c>
    </row>
    <row r="5287" spans="5:8" x14ac:dyDescent="0.2">
      <c r="G5287" t="str">
        <f>"46593.99"</f>
        <v>46593.99</v>
      </c>
      <c r="H5287" t="s">
        <v>3884</v>
      </c>
    </row>
    <row r="5288" spans="5:8" x14ac:dyDescent="0.2">
      <c r="E5288" t="str">
        <f>"46594"</f>
        <v>46594</v>
      </c>
      <c r="H5288" t="s">
        <v>3885</v>
      </c>
    </row>
    <row r="5289" spans="5:8" x14ac:dyDescent="0.2">
      <c r="F5289" t="str">
        <f>"46594.0"</f>
        <v>46594.0</v>
      </c>
      <c r="H5289" t="s">
        <v>3885</v>
      </c>
    </row>
    <row r="5290" spans="5:8" x14ac:dyDescent="0.2">
      <c r="G5290" t="str">
        <f>"46594.01"</f>
        <v>46594.01</v>
      </c>
      <c r="H5290" t="s">
        <v>3886</v>
      </c>
    </row>
    <row r="5291" spans="5:8" x14ac:dyDescent="0.2">
      <c r="G5291" t="str">
        <f>"46594.02"</f>
        <v>46594.02</v>
      </c>
      <c r="H5291" t="s">
        <v>3887</v>
      </c>
    </row>
    <row r="5292" spans="5:8" x14ac:dyDescent="0.2">
      <c r="E5292" t="str">
        <f>"46599"</f>
        <v>46599</v>
      </c>
      <c r="H5292" t="s">
        <v>3888</v>
      </c>
    </row>
    <row r="5293" spans="5:8" x14ac:dyDescent="0.2">
      <c r="F5293" t="str">
        <f>"46599.0"</f>
        <v>46599.0</v>
      </c>
      <c r="H5293" t="s">
        <v>3888</v>
      </c>
    </row>
    <row r="5294" spans="5:8" x14ac:dyDescent="0.2">
      <c r="G5294" t="str">
        <f>"46599.01"</f>
        <v>46599.01</v>
      </c>
      <c r="H5294" t="s">
        <v>3889</v>
      </c>
    </row>
    <row r="5295" spans="5:8" x14ac:dyDescent="0.2">
      <c r="G5295" t="str">
        <f>"46599.02"</f>
        <v>46599.02</v>
      </c>
      <c r="H5295" t="s">
        <v>3890</v>
      </c>
    </row>
    <row r="5296" spans="5:8" x14ac:dyDescent="0.2">
      <c r="G5296" t="str">
        <f>"46599.03"</f>
        <v>46599.03</v>
      </c>
      <c r="H5296" t="s">
        <v>3891</v>
      </c>
    </row>
    <row r="5297" spans="3:8" x14ac:dyDescent="0.2">
      <c r="G5297" t="str">
        <f>"46599.04"</f>
        <v>46599.04</v>
      </c>
      <c r="H5297" t="s">
        <v>3892</v>
      </c>
    </row>
    <row r="5298" spans="3:8" x14ac:dyDescent="0.2">
      <c r="G5298" t="str">
        <f>"46599.09"</f>
        <v>46599.09</v>
      </c>
      <c r="H5298" t="s">
        <v>3888</v>
      </c>
    </row>
    <row r="5299" spans="3:8" x14ac:dyDescent="0.2">
      <c r="C5299" t="str">
        <f>"466"</f>
        <v>466</v>
      </c>
      <c r="H5299" t="s">
        <v>3893</v>
      </c>
    </row>
    <row r="5300" spans="3:8" x14ac:dyDescent="0.2">
      <c r="D5300" t="str">
        <f>"4661"</f>
        <v>4661</v>
      </c>
      <c r="H5300" t="s">
        <v>3894</v>
      </c>
    </row>
    <row r="5301" spans="3:8" x14ac:dyDescent="0.2">
      <c r="E5301" t="str">
        <f>"46611"</f>
        <v>46611</v>
      </c>
      <c r="H5301" t="s">
        <v>3895</v>
      </c>
    </row>
    <row r="5302" spans="3:8" x14ac:dyDescent="0.2">
      <c r="F5302" t="str">
        <f>"46611.0"</f>
        <v>46611.0</v>
      </c>
      <c r="H5302" t="s">
        <v>3895</v>
      </c>
    </row>
    <row r="5303" spans="3:8" x14ac:dyDescent="0.2">
      <c r="G5303" t="str">
        <f>"46611.00"</f>
        <v>46611.00</v>
      </c>
      <c r="H5303" t="s">
        <v>3895</v>
      </c>
    </row>
    <row r="5304" spans="3:8" x14ac:dyDescent="0.2">
      <c r="E5304" t="str">
        <f>"46612"</f>
        <v>46612</v>
      </c>
      <c r="H5304" t="s">
        <v>3896</v>
      </c>
    </row>
    <row r="5305" spans="3:8" x14ac:dyDescent="0.2">
      <c r="F5305" t="str">
        <f>"46612.0"</f>
        <v>46612.0</v>
      </c>
      <c r="H5305" t="s">
        <v>3897</v>
      </c>
    </row>
    <row r="5306" spans="3:8" x14ac:dyDescent="0.2">
      <c r="G5306" t="str">
        <f>"46612.01"</f>
        <v>46612.01</v>
      </c>
      <c r="H5306" t="s">
        <v>3898</v>
      </c>
    </row>
    <row r="5307" spans="3:8" x14ac:dyDescent="0.2">
      <c r="G5307" t="str">
        <f>"46612.09"</f>
        <v>46612.09</v>
      </c>
      <c r="H5307" t="s">
        <v>3899</v>
      </c>
    </row>
    <row r="5308" spans="3:8" x14ac:dyDescent="0.2">
      <c r="E5308" t="str">
        <f>"46613"</f>
        <v>46613</v>
      </c>
      <c r="H5308" t="s">
        <v>3900</v>
      </c>
    </row>
    <row r="5309" spans="3:8" x14ac:dyDescent="0.2">
      <c r="F5309" t="str">
        <f>"46613.0"</f>
        <v>46613.0</v>
      </c>
      <c r="H5309" t="s">
        <v>3900</v>
      </c>
    </row>
    <row r="5310" spans="3:8" x14ac:dyDescent="0.2">
      <c r="G5310" t="str">
        <f>"46613.00"</f>
        <v>46613.00</v>
      </c>
      <c r="H5310" t="s">
        <v>3900</v>
      </c>
    </row>
    <row r="5311" spans="3:8" x14ac:dyDescent="0.2">
      <c r="E5311" t="str">
        <f>"46614"</f>
        <v>46614</v>
      </c>
      <c r="H5311" t="s">
        <v>3901</v>
      </c>
    </row>
    <row r="5312" spans="3:8" x14ac:dyDescent="0.2">
      <c r="F5312" t="str">
        <f>"46614.0"</f>
        <v>46614.0</v>
      </c>
      <c r="H5312" t="s">
        <v>3901</v>
      </c>
    </row>
    <row r="5313" spans="4:8" x14ac:dyDescent="0.2">
      <c r="G5313" t="str">
        <f>"46614.00"</f>
        <v>46614.00</v>
      </c>
      <c r="H5313" t="s">
        <v>3901</v>
      </c>
    </row>
    <row r="5314" spans="4:8" x14ac:dyDescent="0.2">
      <c r="D5314" t="str">
        <f>"4662"</f>
        <v>4662</v>
      </c>
      <c r="H5314" t="s">
        <v>3902</v>
      </c>
    </row>
    <row r="5315" spans="4:8" x14ac:dyDescent="0.2">
      <c r="E5315" t="str">
        <f>"46621"</f>
        <v>46621</v>
      </c>
      <c r="H5315" t="s">
        <v>3903</v>
      </c>
    </row>
    <row r="5316" spans="4:8" x14ac:dyDescent="0.2">
      <c r="F5316" t="str">
        <f>"46621.0"</f>
        <v>46621.0</v>
      </c>
      <c r="H5316" t="s">
        <v>3903</v>
      </c>
    </row>
    <row r="5317" spans="4:8" x14ac:dyDescent="0.2">
      <c r="G5317" t="str">
        <f>"46621.01"</f>
        <v>46621.01</v>
      </c>
      <c r="H5317" t="s">
        <v>3904</v>
      </c>
    </row>
    <row r="5318" spans="4:8" x14ac:dyDescent="0.2">
      <c r="G5318" t="str">
        <f>"46621.02"</f>
        <v>46621.02</v>
      </c>
      <c r="H5318" t="s">
        <v>3905</v>
      </c>
    </row>
    <row r="5319" spans="4:8" x14ac:dyDescent="0.2">
      <c r="E5319" t="str">
        <f>"46622"</f>
        <v>46622</v>
      </c>
      <c r="H5319" t="s">
        <v>3906</v>
      </c>
    </row>
    <row r="5320" spans="4:8" x14ac:dyDescent="0.2">
      <c r="F5320" t="str">
        <f>"46622.0"</f>
        <v>46622.0</v>
      </c>
      <c r="H5320" t="s">
        <v>3906</v>
      </c>
    </row>
    <row r="5321" spans="4:8" x14ac:dyDescent="0.2">
      <c r="G5321" t="str">
        <f>"46622.01"</f>
        <v>46622.01</v>
      </c>
      <c r="H5321" t="s">
        <v>3907</v>
      </c>
    </row>
    <row r="5322" spans="4:8" x14ac:dyDescent="0.2">
      <c r="G5322" t="str">
        <f>"46622.02"</f>
        <v>46622.02</v>
      </c>
      <c r="H5322" t="s">
        <v>3908</v>
      </c>
    </row>
    <row r="5323" spans="4:8" x14ac:dyDescent="0.2">
      <c r="D5323" t="str">
        <f>"4663"</f>
        <v>4663</v>
      </c>
      <c r="H5323" t="s">
        <v>3909</v>
      </c>
    </row>
    <row r="5324" spans="4:8" x14ac:dyDescent="0.2">
      <c r="E5324" t="str">
        <f>"46631"</f>
        <v>46631</v>
      </c>
      <c r="H5324" t="s">
        <v>3910</v>
      </c>
    </row>
    <row r="5325" spans="4:8" x14ac:dyDescent="0.2">
      <c r="F5325" t="str">
        <f>"46631.0"</f>
        <v>46631.0</v>
      </c>
      <c r="H5325" t="s">
        <v>3910</v>
      </c>
    </row>
    <row r="5326" spans="4:8" x14ac:dyDescent="0.2">
      <c r="G5326" t="str">
        <f>"46631.00"</f>
        <v>46631.00</v>
      </c>
      <c r="H5326" t="s">
        <v>3910</v>
      </c>
    </row>
    <row r="5327" spans="4:8" x14ac:dyDescent="0.2">
      <c r="E5327" t="str">
        <f>"46632"</f>
        <v>46632</v>
      </c>
      <c r="H5327" t="s">
        <v>3911</v>
      </c>
    </row>
    <row r="5328" spans="4:8" x14ac:dyDescent="0.2">
      <c r="F5328" t="str">
        <f>"46632.0"</f>
        <v>46632.0</v>
      </c>
      <c r="H5328" t="s">
        <v>3911</v>
      </c>
    </row>
    <row r="5329" spans="5:8" x14ac:dyDescent="0.2">
      <c r="G5329" t="str">
        <f>"46632.01"</f>
        <v>46632.01</v>
      </c>
      <c r="H5329" t="s">
        <v>3912</v>
      </c>
    </row>
    <row r="5330" spans="5:8" x14ac:dyDescent="0.2">
      <c r="G5330" t="str">
        <f>"46632.02"</f>
        <v>46632.02</v>
      </c>
      <c r="H5330" t="s">
        <v>3913</v>
      </c>
    </row>
    <row r="5331" spans="5:8" x14ac:dyDescent="0.2">
      <c r="E5331" t="str">
        <f>"46633"</f>
        <v>46633</v>
      </c>
      <c r="H5331" t="s">
        <v>3914</v>
      </c>
    </row>
    <row r="5332" spans="5:8" x14ac:dyDescent="0.2">
      <c r="F5332" t="str">
        <f>"46633.0"</f>
        <v>46633.0</v>
      </c>
      <c r="H5332" t="s">
        <v>3914</v>
      </c>
    </row>
    <row r="5333" spans="5:8" x14ac:dyDescent="0.2">
      <c r="G5333" t="str">
        <f>"46633.00"</f>
        <v>46633.00</v>
      </c>
      <c r="H5333" t="s">
        <v>3914</v>
      </c>
    </row>
    <row r="5334" spans="5:8" x14ac:dyDescent="0.2">
      <c r="E5334" t="str">
        <f>"46634"</f>
        <v>46634</v>
      </c>
      <c r="H5334" t="s">
        <v>3915</v>
      </c>
    </row>
    <row r="5335" spans="5:8" x14ac:dyDescent="0.2">
      <c r="F5335" t="str">
        <f>"46634.0"</f>
        <v>46634.0</v>
      </c>
      <c r="H5335" t="s">
        <v>3915</v>
      </c>
    </row>
    <row r="5336" spans="5:8" x14ac:dyDescent="0.2">
      <c r="G5336" t="str">
        <f>"46634.01"</f>
        <v>46634.01</v>
      </c>
      <c r="H5336" t="s">
        <v>3916</v>
      </c>
    </row>
    <row r="5337" spans="5:8" x14ac:dyDescent="0.2">
      <c r="G5337" t="str">
        <f>"46634.02"</f>
        <v>46634.02</v>
      </c>
      <c r="H5337" t="s">
        <v>3917</v>
      </c>
    </row>
    <row r="5338" spans="5:8" x14ac:dyDescent="0.2">
      <c r="E5338" t="str">
        <f>"46639"</f>
        <v>46639</v>
      </c>
      <c r="H5338" t="s">
        <v>3918</v>
      </c>
    </row>
    <row r="5339" spans="5:8" x14ac:dyDescent="0.2">
      <c r="F5339" t="str">
        <f>"46639.1"</f>
        <v>46639.1</v>
      </c>
      <c r="H5339" t="s">
        <v>3919</v>
      </c>
    </row>
    <row r="5340" spans="5:8" x14ac:dyDescent="0.2">
      <c r="G5340" t="str">
        <f>"46639.11"</f>
        <v>46639.11</v>
      </c>
      <c r="H5340" t="s">
        <v>3920</v>
      </c>
    </row>
    <row r="5341" spans="5:8" x14ac:dyDescent="0.2">
      <c r="G5341" t="str">
        <f>"46639.12"</f>
        <v>46639.12</v>
      </c>
      <c r="H5341" t="s">
        <v>3921</v>
      </c>
    </row>
    <row r="5342" spans="5:8" x14ac:dyDescent="0.2">
      <c r="F5342" t="str">
        <f>"46639.9"</f>
        <v>46639.9</v>
      </c>
      <c r="H5342" t="s">
        <v>3922</v>
      </c>
    </row>
    <row r="5343" spans="5:8" x14ac:dyDescent="0.2">
      <c r="G5343" t="str">
        <f>"46639.91"</f>
        <v>46639.91</v>
      </c>
      <c r="H5343" t="s">
        <v>3923</v>
      </c>
    </row>
    <row r="5344" spans="5:8" x14ac:dyDescent="0.2">
      <c r="G5344" t="str">
        <f>"46639.92"</f>
        <v>46639.92</v>
      </c>
      <c r="H5344" t="s">
        <v>3924</v>
      </c>
    </row>
    <row r="5345" spans="4:8" x14ac:dyDescent="0.2">
      <c r="G5345" t="str">
        <f>"46639.93"</f>
        <v>46639.93</v>
      </c>
      <c r="H5345" t="s">
        <v>3925</v>
      </c>
    </row>
    <row r="5346" spans="4:8" x14ac:dyDescent="0.2">
      <c r="G5346" t="str">
        <f>"46639.94"</f>
        <v>46639.94</v>
      </c>
      <c r="H5346" t="s">
        <v>3926</v>
      </c>
    </row>
    <row r="5347" spans="4:8" x14ac:dyDescent="0.2">
      <c r="G5347" t="str">
        <f>"46639.99"</f>
        <v>46639.99</v>
      </c>
      <c r="H5347" t="s">
        <v>3922</v>
      </c>
    </row>
    <row r="5348" spans="4:8" x14ac:dyDescent="0.2">
      <c r="D5348" t="str">
        <f>"4669"</f>
        <v>4669</v>
      </c>
      <c r="H5348" t="s">
        <v>3927</v>
      </c>
    </row>
    <row r="5349" spans="4:8" x14ac:dyDescent="0.2">
      <c r="E5349" t="str">
        <f>"46691"</f>
        <v>46691</v>
      </c>
      <c r="H5349" t="s">
        <v>3928</v>
      </c>
    </row>
    <row r="5350" spans="4:8" x14ac:dyDescent="0.2">
      <c r="F5350" t="str">
        <f>"46691.0"</f>
        <v>46691.0</v>
      </c>
      <c r="H5350" t="s">
        <v>3928</v>
      </c>
    </row>
    <row r="5351" spans="4:8" x14ac:dyDescent="0.2">
      <c r="G5351" t="str">
        <f>"46691.00"</f>
        <v>46691.00</v>
      </c>
      <c r="H5351" t="s">
        <v>3928</v>
      </c>
    </row>
    <row r="5352" spans="4:8" x14ac:dyDescent="0.2">
      <c r="E5352" t="str">
        <f>"46692"</f>
        <v>46692</v>
      </c>
      <c r="H5352" t="s">
        <v>3929</v>
      </c>
    </row>
    <row r="5353" spans="4:8" x14ac:dyDescent="0.2">
      <c r="F5353" t="str">
        <f>"46692.0"</f>
        <v>46692.0</v>
      </c>
      <c r="H5353" t="s">
        <v>3929</v>
      </c>
    </row>
    <row r="5354" spans="4:8" x14ac:dyDescent="0.2">
      <c r="G5354" t="str">
        <f>"46692.00"</f>
        <v>46692.00</v>
      </c>
      <c r="H5354" t="s">
        <v>3929</v>
      </c>
    </row>
    <row r="5355" spans="4:8" x14ac:dyDescent="0.2">
      <c r="E5355" t="str">
        <f>"46693"</f>
        <v>46693</v>
      </c>
      <c r="H5355" t="s">
        <v>3930</v>
      </c>
    </row>
    <row r="5356" spans="4:8" x14ac:dyDescent="0.2">
      <c r="F5356" t="str">
        <f>"46693.0"</f>
        <v>46693.0</v>
      </c>
      <c r="H5356" t="s">
        <v>3930</v>
      </c>
    </row>
    <row r="5357" spans="4:8" x14ac:dyDescent="0.2">
      <c r="G5357" t="str">
        <f>"46693.00"</f>
        <v>46693.00</v>
      </c>
      <c r="H5357" t="s">
        <v>3930</v>
      </c>
    </row>
    <row r="5358" spans="4:8" x14ac:dyDescent="0.2">
      <c r="E5358" t="str">
        <f>"46694"</f>
        <v>46694</v>
      </c>
      <c r="H5358" t="s">
        <v>3931</v>
      </c>
    </row>
    <row r="5359" spans="4:8" x14ac:dyDescent="0.2">
      <c r="F5359" t="str">
        <f>"46694.0"</f>
        <v>46694.0</v>
      </c>
      <c r="H5359" t="s">
        <v>3931</v>
      </c>
    </row>
    <row r="5360" spans="4:8" x14ac:dyDescent="0.2">
      <c r="G5360" t="str">
        <f>"46694.00"</f>
        <v>46694.00</v>
      </c>
      <c r="H5360" t="s">
        <v>3931</v>
      </c>
    </row>
    <row r="5361" spans="2:8" x14ac:dyDescent="0.2">
      <c r="E5361" t="str">
        <f>"46695"</f>
        <v>46695</v>
      </c>
      <c r="H5361" t="s">
        <v>3932</v>
      </c>
    </row>
    <row r="5362" spans="2:8" x14ac:dyDescent="0.2">
      <c r="F5362" t="str">
        <f>"46695.0"</f>
        <v>46695.0</v>
      </c>
      <c r="H5362" t="s">
        <v>3932</v>
      </c>
    </row>
    <row r="5363" spans="2:8" x14ac:dyDescent="0.2">
      <c r="G5363" t="str">
        <f>"46695.00"</f>
        <v>46695.00</v>
      </c>
      <c r="H5363" t="s">
        <v>3932</v>
      </c>
    </row>
    <row r="5364" spans="2:8" x14ac:dyDescent="0.2">
      <c r="E5364" t="str">
        <f>"46699"</f>
        <v>46699</v>
      </c>
      <c r="H5364" t="s">
        <v>3933</v>
      </c>
    </row>
    <row r="5365" spans="2:8" x14ac:dyDescent="0.2">
      <c r="F5365" t="str">
        <f>"46699.0"</f>
        <v>46699.0</v>
      </c>
      <c r="H5365" t="s">
        <v>3933</v>
      </c>
    </row>
    <row r="5366" spans="2:8" x14ac:dyDescent="0.2">
      <c r="G5366" t="str">
        <f>"46699.01"</f>
        <v>46699.01</v>
      </c>
      <c r="H5366" t="s">
        <v>3934</v>
      </c>
    </row>
    <row r="5367" spans="2:8" x14ac:dyDescent="0.2">
      <c r="G5367" t="str">
        <f>"46699.02"</f>
        <v>46699.02</v>
      </c>
      <c r="H5367" t="s">
        <v>3935</v>
      </c>
    </row>
    <row r="5368" spans="2:8" x14ac:dyDescent="0.2">
      <c r="G5368" t="str">
        <f>"46699.09"</f>
        <v>46699.09</v>
      </c>
      <c r="H5368" t="s">
        <v>3933</v>
      </c>
    </row>
    <row r="5369" spans="2:8" x14ac:dyDescent="0.2">
      <c r="C5369" t="str">
        <f>"469"</f>
        <v>469</v>
      </c>
      <c r="H5369" t="s">
        <v>3936</v>
      </c>
    </row>
    <row r="5370" spans="2:8" x14ac:dyDescent="0.2">
      <c r="D5370" t="str">
        <f>"4690"</f>
        <v>4690</v>
      </c>
      <c r="H5370" t="s">
        <v>3936</v>
      </c>
    </row>
    <row r="5371" spans="2:8" x14ac:dyDescent="0.2">
      <c r="E5371" t="str">
        <f>"46900"</f>
        <v>46900</v>
      </c>
      <c r="H5371" t="s">
        <v>3936</v>
      </c>
    </row>
    <row r="5372" spans="2:8" x14ac:dyDescent="0.2">
      <c r="F5372" t="str">
        <f>"46900.0"</f>
        <v>46900.0</v>
      </c>
      <c r="H5372" t="s">
        <v>3936</v>
      </c>
    </row>
    <row r="5373" spans="2:8" x14ac:dyDescent="0.2">
      <c r="G5373" t="str">
        <f>"46900.00"</f>
        <v>46900.00</v>
      </c>
      <c r="H5373" t="s">
        <v>3936</v>
      </c>
    </row>
    <row r="5374" spans="2:8" x14ac:dyDescent="0.2">
      <c r="B5374" t="str">
        <f>"47"</f>
        <v>47</v>
      </c>
      <c r="H5374" t="s">
        <v>3937</v>
      </c>
    </row>
    <row r="5375" spans="2:8" x14ac:dyDescent="0.2">
      <c r="C5375" t="str">
        <f>"471"</f>
        <v>471</v>
      </c>
      <c r="H5375" t="s">
        <v>3938</v>
      </c>
    </row>
    <row r="5376" spans="2:8" x14ac:dyDescent="0.2">
      <c r="D5376" t="str">
        <f>"4711"</f>
        <v>4711</v>
      </c>
      <c r="H5376" t="s">
        <v>3939</v>
      </c>
    </row>
    <row r="5377" spans="4:8" x14ac:dyDescent="0.2">
      <c r="E5377" t="str">
        <f>"47111"</f>
        <v>47111</v>
      </c>
      <c r="H5377" t="s">
        <v>3940</v>
      </c>
    </row>
    <row r="5378" spans="4:8" x14ac:dyDescent="0.2">
      <c r="F5378" t="str">
        <f>"47111.0"</f>
        <v>47111.0</v>
      </c>
      <c r="H5378" t="s">
        <v>3941</v>
      </c>
    </row>
    <row r="5379" spans="4:8" x14ac:dyDescent="0.2">
      <c r="G5379" t="str">
        <f>"47111.00"</f>
        <v>47111.00</v>
      </c>
      <c r="H5379" t="s">
        <v>3941</v>
      </c>
    </row>
    <row r="5380" spans="4:8" x14ac:dyDescent="0.2">
      <c r="E5380" t="str">
        <f>"47112"</f>
        <v>47112</v>
      </c>
      <c r="H5380" t="s">
        <v>3942</v>
      </c>
    </row>
    <row r="5381" spans="4:8" x14ac:dyDescent="0.2">
      <c r="F5381" t="str">
        <f>"47112.0"</f>
        <v>47112.0</v>
      </c>
      <c r="H5381" t="s">
        <v>3943</v>
      </c>
    </row>
    <row r="5382" spans="4:8" x14ac:dyDescent="0.2">
      <c r="G5382" t="str">
        <f>"47112.00"</f>
        <v>47112.00</v>
      </c>
      <c r="H5382" t="s">
        <v>3943</v>
      </c>
    </row>
    <row r="5383" spans="4:8" x14ac:dyDescent="0.2">
      <c r="E5383" t="str">
        <f>"47113"</f>
        <v>47113</v>
      </c>
      <c r="H5383" t="s">
        <v>3944</v>
      </c>
    </row>
    <row r="5384" spans="4:8" x14ac:dyDescent="0.2">
      <c r="F5384" t="str">
        <f>"47113.0"</f>
        <v>47113.0</v>
      </c>
      <c r="H5384" t="s">
        <v>3945</v>
      </c>
    </row>
    <row r="5385" spans="4:8" x14ac:dyDescent="0.2">
      <c r="G5385" t="str">
        <f>"47113.00"</f>
        <v>47113.00</v>
      </c>
      <c r="H5385" t="s">
        <v>3945</v>
      </c>
    </row>
    <row r="5386" spans="4:8" x14ac:dyDescent="0.2">
      <c r="E5386" t="str">
        <f>"47114"</f>
        <v>47114</v>
      </c>
      <c r="H5386" t="s">
        <v>3946</v>
      </c>
    </row>
    <row r="5387" spans="4:8" x14ac:dyDescent="0.2">
      <c r="F5387" t="str">
        <f>"47114.0"</f>
        <v>47114.0</v>
      </c>
      <c r="H5387" t="s">
        <v>3947</v>
      </c>
    </row>
    <row r="5388" spans="4:8" x14ac:dyDescent="0.2">
      <c r="G5388" t="str">
        <f>"47114.00"</f>
        <v>47114.00</v>
      </c>
      <c r="H5388" t="s">
        <v>3947</v>
      </c>
    </row>
    <row r="5389" spans="4:8" x14ac:dyDescent="0.2">
      <c r="D5389" t="str">
        <f>"4719"</f>
        <v>4719</v>
      </c>
      <c r="H5389" t="s">
        <v>3948</v>
      </c>
    </row>
    <row r="5390" spans="4:8" x14ac:dyDescent="0.2">
      <c r="E5390" t="str">
        <f>"47190"</f>
        <v>47190</v>
      </c>
      <c r="H5390" t="s">
        <v>3948</v>
      </c>
    </row>
    <row r="5391" spans="4:8" x14ac:dyDescent="0.2">
      <c r="F5391" t="str">
        <f>"47190.0"</f>
        <v>47190.0</v>
      </c>
      <c r="H5391" t="s">
        <v>3948</v>
      </c>
    </row>
    <row r="5392" spans="4:8" x14ac:dyDescent="0.2">
      <c r="G5392" t="str">
        <f>"47190.00"</f>
        <v>47190.00</v>
      </c>
      <c r="H5392" t="s">
        <v>3948</v>
      </c>
    </row>
    <row r="5393" spans="3:8" x14ac:dyDescent="0.2">
      <c r="C5393" t="str">
        <f>"472"</f>
        <v>472</v>
      </c>
      <c r="H5393" t="s">
        <v>3949</v>
      </c>
    </row>
    <row r="5394" spans="3:8" x14ac:dyDescent="0.2">
      <c r="D5394" t="str">
        <f>"4721"</f>
        <v>4721</v>
      </c>
      <c r="H5394" t="s">
        <v>3950</v>
      </c>
    </row>
    <row r="5395" spans="3:8" x14ac:dyDescent="0.2">
      <c r="E5395" t="str">
        <f>"47211"</f>
        <v>47211</v>
      </c>
      <c r="H5395" t="s">
        <v>3951</v>
      </c>
    </row>
    <row r="5396" spans="3:8" x14ac:dyDescent="0.2">
      <c r="F5396" t="str">
        <f>"47211.0"</f>
        <v>47211.0</v>
      </c>
      <c r="H5396" t="s">
        <v>3951</v>
      </c>
    </row>
    <row r="5397" spans="3:8" x14ac:dyDescent="0.2">
      <c r="G5397" t="str">
        <f>"47211.01"</f>
        <v>47211.01</v>
      </c>
      <c r="H5397" t="s">
        <v>3952</v>
      </c>
    </row>
    <row r="5398" spans="3:8" x14ac:dyDescent="0.2">
      <c r="G5398" t="str">
        <f>"47211.02"</f>
        <v>47211.02</v>
      </c>
      <c r="H5398" t="s">
        <v>3953</v>
      </c>
    </row>
    <row r="5399" spans="3:8" x14ac:dyDescent="0.2">
      <c r="E5399" t="str">
        <f>"47212"</f>
        <v>47212</v>
      </c>
      <c r="H5399" t="s">
        <v>3954</v>
      </c>
    </row>
    <row r="5400" spans="3:8" x14ac:dyDescent="0.2">
      <c r="F5400" t="str">
        <f>"47212.0"</f>
        <v>47212.0</v>
      </c>
      <c r="H5400" t="s">
        <v>3954</v>
      </c>
    </row>
    <row r="5401" spans="3:8" x14ac:dyDescent="0.2">
      <c r="G5401" t="str">
        <f>"47212.00"</f>
        <v>47212.00</v>
      </c>
      <c r="H5401" t="s">
        <v>3954</v>
      </c>
    </row>
    <row r="5402" spans="3:8" x14ac:dyDescent="0.2">
      <c r="E5402" t="str">
        <f>"47213"</f>
        <v>47213</v>
      </c>
      <c r="H5402" t="s">
        <v>3955</v>
      </c>
    </row>
    <row r="5403" spans="3:8" x14ac:dyDescent="0.2">
      <c r="F5403" t="str">
        <f>"47213.0"</f>
        <v>47213.0</v>
      </c>
      <c r="H5403" t="s">
        <v>3955</v>
      </c>
    </row>
    <row r="5404" spans="3:8" x14ac:dyDescent="0.2">
      <c r="G5404" t="str">
        <f>"47213.01"</f>
        <v>47213.01</v>
      </c>
      <c r="H5404" t="s">
        <v>3956</v>
      </c>
    </row>
    <row r="5405" spans="3:8" x14ac:dyDescent="0.2">
      <c r="G5405" t="str">
        <f>"47213.02"</f>
        <v>47213.02</v>
      </c>
      <c r="H5405" t="s">
        <v>3957</v>
      </c>
    </row>
    <row r="5406" spans="3:8" x14ac:dyDescent="0.2">
      <c r="E5406" t="str">
        <f>"47214"</f>
        <v>47214</v>
      </c>
      <c r="H5406" t="s">
        <v>3958</v>
      </c>
    </row>
    <row r="5407" spans="3:8" x14ac:dyDescent="0.2">
      <c r="F5407" t="str">
        <f>"47214.0"</f>
        <v>47214.0</v>
      </c>
      <c r="H5407" t="s">
        <v>3958</v>
      </c>
    </row>
    <row r="5408" spans="3:8" x14ac:dyDescent="0.2">
      <c r="G5408" t="str">
        <f>"47214.00"</f>
        <v>47214.00</v>
      </c>
      <c r="H5408" t="s">
        <v>3958</v>
      </c>
    </row>
    <row r="5409" spans="4:8" x14ac:dyDescent="0.2">
      <c r="E5409" t="str">
        <f>"47215"</f>
        <v>47215</v>
      </c>
      <c r="H5409" t="s">
        <v>3959</v>
      </c>
    </row>
    <row r="5410" spans="4:8" x14ac:dyDescent="0.2">
      <c r="F5410" t="str">
        <f>"47215.0"</f>
        <v>47215.0</v>
      </c>
      <c r="H5410" t="s">
        <v>3959</v>
      </c>
    </row>
    <row r="5411" spans="4:8" x14ac:dyDescent="0.2">
      <c r="G5411" t="str">
        <f>"47215.00"</f>
        <v>47215.00</v>
      </c>
      <c r="H5411" t="s">
        <v>3959</v>
      </c>
    </row>
    <row r="5412" spans="4:8" x14ac:dyDescent="0.2">
      <c r="E5412" t="str">
        <f>"47219"</f>
        <v>47219</v>
      </c>
      <c r="H5412" t="s">
        <v>3960</v>
      </c>
    </row>
    <row r="5413" spans="4:8" x14ac:dyDescent="0.2">
      <c r="F5413" t="str">
        <f>"47219.0"</f>
        <v>47219.0</v>
      </c>
      <c r="H5413" t="s">
        <v>3960</v>
      </c>
    </row>
    <row r="5414" spans="4:8" x14ac:dyDescent="0.2">
      <c r="G5414" t="str">
        <f>"47219.01"</f>
        <v>47219.01</v>
      </c>
      <c r="H5414" t="s">
        <v>3961</v>
      </c>
    </row>
    <row r="5415" spans="4:8" x14ac:dyDescent="0.2">
      <c r="G5415" t="str">
        <f>"47219.02"</f>
        <v>47219.02</v>
      </c>
      <c r="H5415" t="s">
        <v>3962</v>
      </c>
    </row>
    <row r="5416" spans="4:8" x14ac:dyDescent="0.2">
      <c r="G5416" t="str">
        <f>"47219.03"</f>
        <v>47219.03</v>
      </c>
      <c r="H5416" t="s">
        <v>3963</v>
      </c>
    </row>
    <row r="5417" spans="4:8" x14ac:dyDescent="0.2">
      <c r="G5417" t="str">
        <f>"47219.04"</f>
        <v>47219.04</v>
      </c>
      <c r="H5417" t="s">
        <v>3964</v>
      </c>
    </row>
    <row r="5418" spans="4:8" x14ac:dyDescent="0.2">
      <c r="G5418" t="str">
        <f>"47219.05"</f>
        <v>47219.05</v>
      </c>
      <c r="H5418" t="s">
        <v>3965</v>
      </c>
    </row>
    <row r="5419" spans="4:8" x14ac:dyDescent="0.2">
      <c r="G5419" t="str">
        <f>"47219.09"</f>
        <v>47219.09</v>
      </c>
      <c r="H5419" t="s">
        <v>3966</v>
      </c>
    </row>
    <row r="5420" spans="4:8" x14ac:dyDescent="0.2">
      <c r="D5420" t="str">
        <f>"4722"</f>
        <v>4722</v>
      </c>
      <c r="H5420" t="s">
        <v>3967</v>
      </c>
    </row>
    <row r="5421" spans="4:8" x14ac:dyDescent="0.2">
      <c r="E5421" t="str">
        <f>"47221"</f>
        <v>47221</v>
      </c>
      <c r="H5421" t="s">
        <v>3968</v>
      </c>
    </row>
    <row r="5422" spans="4:8" x14ac:dyDescent="0.2">
      <c r="F5422" t="str">
        <f>"47221.0"</f>
        <v>47221.0</v>
      </c>
      <c r="H5422" t="s">
        <v>3968</v>
      </c>
    </row>
    <row r="5423" spans="4:8" x14ac:dyDescent="0.2">
      <c r="G5423" t="str">
        <f>"47221.00"</f>
        <v>47221.00</v>
      </c>
      <c r="H5423" t="s">
        <v>3968</v>
      </c>
    </row>
    <row r="5424" spans="4:8" x14ac:dyDescent="0.2">
      <c r="E5424" t="str">
        <f>"47222"</f>
        <v>47222</v>
      </c>
      <c r="H5424" t="s">
        <v>3969</v>
      </c>
    </row>
    <row r="5425" spans="3:8" x14ac:dyDescent="0.2">
      <c r="F5425" t="str">
        <f>"47222.0"</f>
        <v>47222.0</v>
      </c>
      <c r="H5425" t="s">
        <v>3969</v>
      </c>
    </row>
    <row r="5426" spans="3:8" x14ac:dyDescent="0.2">
      <c r="G5426" t="str">
        <f>"47222.00"</f>
        <v>47222.00</v>
      </c>
      <c r="H5426" t="s">
        <v>3969</v>
      </c>
    </row>
    <row r="5427" spans="3:8" x14ac:dyDescent="0.2">
      <c r="D5427" t="str">
        <f>"4723"</f>
        <v>4723</v>
      </c>
      <c r="H5427" t="s">
        <v>3970</v>
      </c>
    </row>
    <row r="5428" spans="3:8" x14ac:dyDescent="0.2">
      <c r="E5428" t="str">
        <f>"47230"</f>
        <v>47230</v>
      </c>
      <c r="H5428" t="s">
        <v>3970</v>
      </c>
    </row>
    <row r="5429" spans="3:8" x14ac:dyDescent="0.2">
      <c r="F5429" t="str">
        <f>"47230.0"</f>
        <v>47230.0</v>
      </c>
      <c r="H5429" t="s">
        <v>3970</v>
      </c>
    </row>
    <row r="5430" spans="3:8" x14ac:dyDescent="0.2">
      <c r="G5430" t="str">
        <f>"47230.00"</f>
        <v>47230.00</v>
      </c>
      <c r="H5430" t="s">
        <v>3970</v>
      </c>
    </row>
    <row r="5431" spans="3:8" x14ac:dyDescent="0.2">
      <c r="C5431" t="str">
        <f>"473"</f>
        <v>473</v>
      </c>
      <c r="H5431" t="s">
        <v>3971</v>
      </c>
    </row>
    <row r="5432" spans="3:8" x14ac:dyDescent="0.2">
      <c r="D5432" t="str">
        <f>"4730"</f>
        <v>4730</v>
      </c>
      <c r="H5432" t="s">
        <v>3971</v>
      </c>
    </row>
    <row r="5433" spans="3:8" x14ac:dyDescent="0.2">
      <c r="E5433" t="str">
        <f>"47300"</f>
        <v>47300</v>
      </c>
      <c r="H5433" t="s">
        <v>3971</v>
      </c>
    </row>
    <row r="5434" spans="3:8" x14ac:dyDescent="0.2">
      <c r="F5434" t="str">
        <f>"47300.0"</f>
        <v>47300.0</v>
      </c>
      <c r="H5434" t="s">
        <v>3971</v>
      </c>
    </row>
    <row r="5435" spans="3:8" x14ac:dyDescent="0.2">
      <c r="G5435" t="str">
        <f>"47300.00"</f>
        <v>47300.00</v>
      </c>
      <c r="H5435" t="s">
        <v>3971</v>
      </c>
    </row>
    <row r="5436" spans="3:8" x14ac:dyDescent="0.2">
      <c r="C5436" t="str">
        <f>"474"</f>
        <v>474</v>
      </c>
      <c r="H5436" t="s">
        <v>3972</v>
      </c>
    </row>
    <row r="5437" spans="3:8" x14ac:dyDescent="0.2">
      <c r="D5437" t="str">
        <f>"4741"</f>
        <v>4741</v>
      </c>
      <c r="H5437" t="s">
        <v>3973</v>
      </c>
    </row>
    <row r="5438" spans="3:8" x14ac:dyDescent="0.2">
      <c r="E5438" t="str">
        <f>"47411"</f>
        <v>47411</v>
      </c>
      <c r="H5438" t="s">
        <v>3974</v>
      </c>
    </row>
    <row r="5439" spans="3:8" x14ac:dyDescent="0.2">
      <c r="F5439" t="str">
        <f>"47411.0"</f>
        <v>47411.0</v>
      </c>
      <c r="H5439" t="s">
        <v>3975</v>
      </c>
    </row>
    <row r="5440" spans="3:8" x14ac:dyDescent="0.2">
      <c r="G5440" t="str">
        <f>"47411.00"</f>
        <v>47411.00</v>
      </c>
      <c r="H5440" t="s">
        <v>3975</v>
      </c>
    </row>
    <row r="5441" spans="3:8" x14ac:dyDescent="0.2">
      <c r="E5441" t="str">
        <f>"47412"</f>
        <v>47412</v>
      </c>
      <c r="H5441" t="s">
        <v>3976</v>
      </c>
    </row>
    <row r="5442" spans="3:8" x14ac:dyDescent="0.2">
      <c r="F5442" t="str">
        <f>"47412.0"</f>
        <v>47412.0</v>
      </c>
      <c r="H5442" t="s">
        <v>3977</v>
      </c>
    </row>
    <row r="5443" spans="3:8" x14ac:dyDescent="0.2">
      <c r="G5443" t="str">
        <f>"47412.00"</f>
        <v>47412.00</v>
      </c>
      <c r="H5443" t="s">
        <v>3977</v>
      </c>
    </row>
    <row r="5444" spans="3:8" x14ac:dyDescent="0.2">
      <c r="E5444" t="str">
        <f>"47413"</f>
        <v>47413</v>
      </c>
      <c r="H5444" t="s">
        <v>3978</v>
      </c>
    </row>
    <row r="5445" spans="3:8" x14ac:dyDescent="0.2">
      <c r="F5445" t="str">
        <f>"47413.0"</f>
        <v>47413.0</v>
      </c>
      <c r="H5445" t="s">
        <v>3979</v>
      </c>
    </row>
    <row r="5446" spans="3:8" x14ac:dyDescent="0.2">
      <c r="G5446" t="str">
        <f>"47413.00"</f>
        <v>47413.00</v>
      </c>
      <c r="H5446" t="s">
        <v>3979</v>
      </c>
    </row>
    <row r="5447" spans="3:8" x14ac:dyDescent="0.2">
      <c r="D5447" t="str">
        <f>"4742"</f>
        <v>4742</v>
      </c>
      <c r="H5447" t="s">
        <v>3980</v>
      </c>
    </row>
    <row r="5448" spans="3:8" x14ac:dyDescent="0.2">
      <c r="E5448" t="str">
        <f>"47420"</f>
        <v>47420</v>
      </c>
      <c r="H5448" t="s">
        <v>3980</v>
      </c>
    </row>
    <row r="5449" spans="3:8" x14ac:dyDescent="0.2">
      <c r="F5449" t="str">
        <f>"47420.0"</f>
        <v>47420.0</v>
      </c>
      <c r="H5449" t="s">
        <v>3981</v>
      </c>
    </row>
    <row r="5450" spans="3:8" x14ac:dyDescent="0.2">
      <c r="G5450" t="str">
        <f>"47420.00"</f>
        <v>47420.00</v>
      </c>
      <c r="H5450" t="s">
        <v>3981</v>
      </c>
    </row>
    <row r="5451" spans="3:8" x14ac:dyDescent="0.2">
      <c r="C5451" t="str">
        <f>"475"</f>
        <v>475</v>
      </c>
      <c r="H5451" t="s">
        <v>3982</v>
      </c>
    </row>
    <row r="5452" spans="3:8" x14ac:dyDescent="0.2">
      <c r="D5452" t="str">
        <f>"4751"</f>
        <v>4751</v>
      </c>
      <c r="H5452" t="s">
        <v>3983</v>
      </c>
    </row>
    <row r="5453" spans="3:8" x14ac:dyDescent="0.2">
      <c r="E5453" t="str">
        <f>"47511"</f>
        <v>47511</v>
      </c>
      <c r="H5453" t="s">
        <v>3984</v>
      </c>
    </row>
    <row r="5454" spans="3:8" x14ac:dyDescent="0.2">
      <c r="F5454" t="str">
        <f>"47511.0"</f>
        <v>47511.0</v>
      </c>
      <c r="H5454" t="s">
        <v>3984</v>
      </c>
    </row>
    <row r="5455" spans="3:8" x14ac:dyDescent="0.2">
      <c r="G5455" t="str">
        <f>"47511.00"</f>
        <v>47511.00</v>
      </c>
      <c r="H5455" t="s">
        <v>3984</v>
      </c>
    </row>
    <row r="5456" spans="3:8" x14ac:dyDescent="0.2">
      <c r="E5456" t="str">
        <f>"47512"</f>
        <v>47512</v>
      </c>
      <c r="H5456" t="s">
        <v>3985</v>
      </c>
    </row>
    <row r="5457" spans="4:8" x14ac:dyDescent="0.2">
      <c r="F5457" t="str">
        <f>"47512.0"</f>
        <v>47512.0</v>
      </c>
      <c r="H5457" t="s">
        <v>3986</v>
      </c>
    </row>
    <row r="5458" spans="4:8" x14ac:dyDescent="0.2">
      <c r="G5458" t="str">
        <f>"47512.00"</f>
        <v>47512.00</v>
      </c>
      <c r="H5458" t="s">
        <v>3986</v>
      </c>
    </row>
    <row r="5459" spans="4:8" x14ac:dyDescent="0.2">
      <c r="E5459" t="str">
        <f>"47513"</f>
        <v>47513</v>
      </c>
      <c r="H5459" t="s">
        <v>3987</v>
      </c>
    </row>
    <row r="5460" spans="4:8" x14ac:dyDescent="0.2">
      <c r="F5460" t="str">
        <f>"47513.0"</f>
        <v>47513.0</v>
      </c>
      <c r="H5460" t="s">
        <v>3988</v>
      </c>
    </row>
    <row r="5461" spans="4:8" x14ac:dyDescent="0.2">
      <c r="G5461" t="str">
        <f>"47513.00"</f>
        <v>47513.00</v>
      </c>
      <c r="H5461" t="s">
        <v>3988</v>
      </c>
    </row>
    <row r="5462" spans="4:8" x14ac:dyDescent="0.2">
      <c r="D5462" t="str">
        <f>"4752"</f>
        <v>4752</v>
      </c>
      <c r="H5462" t="s">
        <v>3989</v>
      </c>
    </row>
    <row r="5463" spans="4:8" x14ac:dyDescent="0.2">
      <c r="E5463" t="str">
        <f>"47521"</f>
        <v>47521</v>
      </c>
      <c r="H5463" t="s">
        <v>3990</v>
      </c>
    </row>
    <row r="5464" spans="4:8" x14ac:dyDescent="0.2">
      <c r="F5464" t="str">
        <f>"47521.0"</f>
        <v>47521.0</v>
      </c>
      <c r="H5464" t="s">
        <v>3991</v>
      </c>
    </row>
    <row r="5465" spans="4:8" x14ac:dyDescent="0.2">
      <c r="G5465" t="str">
        <f>"47521.01"</f>
        <v>47521.01</v>
      </c>
      <c r="H5465" t="s">
        <v>3991</v>
      </c>
    </row>
    <row r="5466" spans="4:8" x14ac:dyDescent="0.2">
      <c r="G5466" t="str">
        <f>"47521.02"</f>
        <v>47521.02</v>
      </c>
      <c r="H5466" t="s">
        <v>3992</v>
      </c>
    </row>
    <row r="5467" spans="4:8" x14ac:dyDescent="0.2">
      <c r="E5467" t="str">
        <f>"47522"</f>
        <v>47522</v>
      </c>
      <c r="H5467" t="s">
        <v>3993</v>
      </c>
    </row>
    <row r="5468" spans="4:8" x14ac:dyDescent="0.2">
      <c r="F5468" t="str">
        <f>"47522.0"</f>
        <v>47522.0</v>
      </c>
      <c r="H5468" t="s">
        <v>3994</v>
      </c>
    </row>
    <row r="5469" spans="4:8" x14ac:dyDescent="0.2">
      <c r="G5469" t="str">
        <f>"47522.00"</f>
        <v>47522.00</v>
      </c>
      <c r="H5469" t="s">
        <v>3994</v>
      </c>
    </row>
    <row r="5470" spans="4:8" x14ac:dyDescent="0.2">
      <c r="E5470" t="str">
        <f>"47523"</f>
        <v>47523</v>
      </c>
      <c r="H5470" t="s">
        <v>3995</v>
      </c>
    </row>
    <row r="5471" spans="4:8" x14ac:dyDescent="0.2">
      <c r="F5471" t="str">
        <f>"47523.0"</f>
        <v>47523.0</v>
      </c>
      <c r="H5471" t="s">
        <v>3996</v>
      </c>
    </row>
    <row r="5472" spans="4:8" x14ac:dyDescent="0.2">
      <c r="G5472" t="str">
        <f>"47523.01"</f>
        <v>47523.01</v>
      </c>
      <c r="H5472" t="s">
        <v>3997</v>
      </c>
    </row>
    <row r="5473" spans="4:8" x14ac:dyDescent="0.2">
      <c r="G5473" t="str">
        <f>"47523.02"</f>
        <v>47523.02</v>
      </c>
      <c r="H5473" t="s">
        <v>3998</v>
      </c>
    </row>
    <row r="5474" spans="4:8" x14ac:dyDescent="0.2">
      <c r="E5474" t="str">
        <f>"47524"</f>
        <v>47524</v>
      </c>
      <c r="H5474" t="s">
        <v>3999</v>
      </c>
    </row>
    <row r="5475" spans="4:8" x14ac:dyDescent="0.2">
      <c r="F5475" t="str">
        <f>"47524.0"</f>
        <v>47524.0</v>
      </c>
      <c r="H5475" t="s">
        <v>3999</v>
      </c>
    </row>
    <row r="5476" spans="4:8" x14ac:dyDescent="0.2">
      <c r="G5476" t="str">
        <f>"47524.01"</f>
        <v>47524.01</v>
      </c>
      <c r="H5476" t="s">
        <v>4000</v>
      </c>
    </row>
    <row r="5477" spans="4:8" x14ac:dyDescent="0.2">
      <c r="G5477" t="str">
        <f>"47524.02"</f>
        <v>47524.02</v>
      </c>
      <c r="H5477" t="s">
        <v>4001</v>
      </c>
    </row>
    <row r="5478" spans="4:8" x14ac:dyDescent="0.2">
      <c r="G5478" t="str">
        <f>"47524.09"</f>
        <v>47524.09</v>
      </c>
      <c r="H5478" t="s">
        <v>4002</v>
      </c>
    </row>
    <row r="5479" spans="4:8" x14ac:dyDescent="0.2">
      <c r="E5479" t="str">
        <f>"47525"</f>
        <v>47525</v>
      </c>
      <c r="H5479" t="s">
        <v>4003</v>
      </c>
    </row>
    <row r="5480" spans="4:8" x14ac:dyDescent="0.2">
      <c r="F5480" t="str">
        <f>"47525.0"</f>
        <v>47525.0</v>
      </c>
      <c r="H5480" t="s">
        <v>4004</v>
      </c>
    </row>
    <row r="5481" spans="4:8" x14ac:dyDescent="0.2">
      <c r="G5481" t="str">
        <f>"47525.00"</f>
        <v>47525.00</v>
      </c>
      <c r="H5481" t="s">
        <v>4004</v>
      </c>
    </row>
    <row r="5482" spans="4:8" x14ac:dyDescent="0.2">
      <c r="D5482" t="str">
        <f>"4753"</f>
        <v>4753</v>
      </c>
      <c r="H5482" t="s">
        <v>4005</v>
      </c>
    </row>
    <row r="5483" spans="4:8" x14ac:dyDescent="0.2">
      <c r="E5483" t="str">
        <f>"47530"</f>
        <v>47530</v>
      </c>
      <c r="H5483" t="s">
        <v>4006</v>
      </c>
    </row>
    <row r="5484" spans="4:8" x14ac:dyDescent="0.2">
      <c r="F5484" t="str">
        <f>"47530.0"</f>
        <v>47530.0</v>
      </c>
      <c r="H5484" t="s">
        <v>4006</v>
      </c>
    </row>
    <row r="5485" spans="4:8" x14ac:dyDescent="0.2">
      <c r="G5485" t="str">
        <f>"47530.01"</f>
        <v>47530.01</v>
      </c>
      <c r="H5485" t="s">
        <v>4007</v>
      </c>
    </row>
    <row r="5486" spans="4:8" x14ac:dyDescent="0.2">
      <c r="G5486" t="str">
        <f>"47530.02"</f>
        <v>47530.02</v>
      </c>
      <c r="H5486" t="s">
        <v>4008</v>
      </c>
    </row>
    <row r="5487" spans="4:8" x14ac:dyDescent="0.2">
      <c r="D5487" t="str">
        <f>"4759"</f>
        <v>4759</v>
      </c>
      <c r="H5487" t="s">
        <v>4009</v>
      </c>
    </row>
    <row r="5488" spans="4:8" x14ac:dyDescent="0.2">
      <c r="E5488" t="str">
        <f>"47591"</f>
        <v>47591</v>
      </c>
      <c r="H5488" t="s">
        <v>4010</v>
      </c>
    </row>
    <row r="5489" spans="5:8" x14ac:dyDescent="0.2">
      <c r="F5489" t="str">
        <f>"47591.0"</f>
        <v>47591.0</v>
      </c>
      <c r="H5489" t="s">
        <v>4011</v>
      </c>
    </row>
    <row r="5490" spans="5:8" x14ac:dyDescent="0.2">
      <c r="G5490" t="str">
        <f>"47591.00"</f>
        <v>47591.00</v>
      </c>
      <c r="H5490" t="s">
        <v>4011</v>
      </c>
    </row>
    <row r="5491" spans="5:8" x14ac:dyDescent="0.2">
      <c r="E5491" t="str">
        <f>"47592"</f>
        <v>47592</v>
      </c>
      <c r="H5491" t="s">
        <v>4012</v>
      </c>
    </row>
    <row r="5492" spans="5:8" x14ac:dyDescent="0.2">
      <c r="F5492" t="str">
        <f>"47592.0"</f>
        <v>47592.0</v>
      </c>
      <c r="H5492" t="s">
        <v>4013</v>
      </c>
    </row>
    <row r="5493" spans="5:8" x14ac:dyDescent="0.2">
      <c r="G5493" t="str">
        <f>"47592.00"</f>
        <v>47592.00</v>
      </c>
      <c r="H5493" t="s">
        <v>4013</v>
      </c>
    </row>
    <row r="5494" spans="5:8" x14ac:dyDescent="0.2">
      <c r="E5494" t="str">
        <f>"47593"</f>
        <v>47593</v>
      </c>
      <c r="H5494" t="s">
        <v>4014</v>
      </c>
    </row>
    <row r="5495" spans="5:8" x14ac:dyDescent="0.2">
      <c r="F5495" t="str">
        <f>"47593.0"</f>
        <v>47593.0</v>
      </c>
      <c r="H5495" t="s">
        <v>4014</v>
      </c>
    </row>
    <row r="5496" spans="5:8" x14ac:dyDescent="0.2">
      <c r="G5496" t="str">
        <f>"47593.00"</f>
        <v>47593.00</v>
      </c>
      <c r="H5496" t="s">
        <v>4015</v>
      </c>
    </row>
    <row r="5497" spans="5:8" x14ac:dyDescent="0.2">
      <c r="E5497" t="str">
        <f>"47594"</f>
        <v>47594</v>
      </c>
      <c r="H5497" t="s">
        <v>4016</v>
      </c>
    </row>
    <row r="5498" spans="5:8" x14ac:dyDescent="0.2">
      <c r="F5498" t="str">
        <f>"47594.0"</f>
        <v>47594.0</v>
      </c>
      <c r="H5498" t="s">
        <v>4016</v>
      </c>
    </row>
    <row r="5499" spans="5:8" x14ac:dyDescent="0.2">
      <c r="G5499" t="str">
        <f>"47594.00"</f>
        <v>47594.00</v>
      </c>
      <c r="H5499" t="s">
        <v>4016</v>
      </c>
    </row>
    <row r="5500" spans="5:8" x14ac:dyDescent="0.2">
      <c r="E5500" t="str">
        <f>"47595"</f>
        <v>47595</v>
      </c>
      <c r="H5500" t="s">
        <v>4017</v>
      </c>
    </row>
    <row r="5501" spans="5:8" x14ac:dyDescent="0.2">
      <c r="F5501" t="str">
        <f>"47595.0"</f>
        <v>47595.0</v>
      </c>
      <c r="H5501" t="s">
        <v>4017</v>
      </c>
    </row>
    <row r="5502" spans="5:8" x14ac:dyDescent="0.2">
      <c r="G5502" t="str">
        <f>"47595.00"</f>
        <v>47595.00</v>
      </c>
      <c r="H5502" t="s">
        <v>4017</v>
      </c>
    </row>
    <row r="5503" spans="5:8" x14ac:dyDescent="0.2">
      <c r="E5503" t="str">
        <f>"47599"</f>
        <v>47599</v>
      </c>
      <c r="H5503" t="s">
        <v>4018</v>
      </c>
    </row>
    <row r="5504" spans="5:8" x14ac:dyDescent="0.2">
      <c r="F5504" t="str">
        <f>"47599.0"</f>
        <v>47599.0</v>
      </c>
      <c r="H5504" t="s">
        <v>4019</v>
      </c>
    </row>
    <row r="5505" spans="3:8" x14ac:dyDescent="0.2">
      <c r="G5505" t="str">
        <f>"47599.01"</f>
        <v>47599.01</v>
      </c>
      <c r="H5505" t="s">
        <v>4020</v>
      </c>
    </row>
    <row r="5506" spans="3:8" x14ac:dyDescent="0.2">
      <c r="G5506" t="str">
        <f>"47599.09"</f>
        <v>47599.09</v>
      </c>
      <c r="H5506" t="s">
        <v>4021</v>
      </c>
    </row>
    <row r="5507" spans="3:8" x14ac:dyDescent="0.2">
      <c r="C5507" t="str">
        <f>"476"</f>
        <v>476</v>
      </c>
      <c r="H5507" t="s">
        <v>4022</v>
      </c>
    </row>
    <row r="5508" spans="3:8" x14ac:dyDescent="0.2">
      <c r="D5508" t="str">
        <f>"4761"</f>
        <v>4761</v>
      </c>
      <c r="H5508" t="s">
        <v>4023</v>
      </c>
    </row>
    <row r="5509" spans="3:8" x14ac:dyDescent="0.2">
      <c r="E5509" t="str">
        <f>"47611"</f>
        <v>47611</v>
      </c>
      <c r="H5509" t="s">
        <v>4024</v>
      </c>
    </row>
    <row r="5510" spans="3:8" x14ac:dyDescent="0.2">
      <c r="F5510" t="str">
        <f>"47611.0"</f>
        <v>47611.0</v>
      </c>
      <c r="H5510" t="s">
        <v>4025</v>
      </c>
    </row>
    <row r="5511" spans="3:8" x14ac:dyDescent="0.2">
      <c r="G5511" t="str">
        <f>"47611.01"</f>
        <v>47611.01</v>
      </c>
      <c r="H5511" t="s">
        <v>4026</v>
      </c>
    </row>
    <row r="5512" spans="3:8" x14ac:dyDescent="0.2">
      <c r="G5512" t="str">
        <f>"47611.02"</f>
        <v>47611.02</v>
      </c>
      <c r="H5512" t="s">
        <v>4027</v>
      </c>
    </row>
    <row r="5513" spans="3:8" x14ac:dyDescent="0.2">
      <c r="E5513" t="str">
        <f>"47612"</f>
        <v>47612</v>
      </c>
      <c r="H5513" t="s">
        <v>4028</v>
      </c>
    </row>
    <row r="5514" spans="3:8" x14ac:dyDescent="0.2">
      <c r="F5514" t="str">
        <f>"47612.0"</f>
        <v>47612.0</v>
      </c>
      <c r="H5514" t="s">
        <v>4028</v>
      </c>
    </row>
    <row r="5515" spans="3:8" x14ac:dyDescent="0.2">
      <c r="G5515" t="str">
        <f>"47612.00"</f>
        <v>47612.00</v>
      </c>
      <c r="H5515" t="s">
        <v>4029</v>
      </c>
    </row>
    <row r="5516" spans="3:8" x14ac:dyDescent="0.2">
      <c r="D5516" t="str">
        <f>"4762"</f>
        <v>4762</v>
      </c>
      <c r="H5516" t="s">
        <v>4030</v>
      </c>
    </row>
    <row r="5517" spans="3:8" x14ac:dyDescent="0.2">
      <c r="E5517" t="str">
        <f>"47620"</f>
        <v>47620</v>
      </c>
      <c r="H5517" t="s">
        <v>4030</v>
      </c>
    </row>
    <row r="5518" spans="3:8" x14ac:dyDescent="0.2">
      <c r="F5518" t="str">
        <f>"47620.0"</f>
        <v>47620.0</v>
      </c>
      <c r="H5518" t="s">
        <v>4030</v>
      </c>
    </row>
    <row r="5519" spans="3:8" x14ac:dyDescent="0.2">
      <c r="G5519" t="str">
        <f>"47620.00"</f>
        <v>47620.00</v>
      </c>
      <c r="H5519" t="s">
        <v>4030</v>
      </c>
    </row>
    <row r="5520" spans="3:8" x14ac:dyDescent="0.2">
      <c r="D5520" t="str">
        <f>"4763"</f>
        <v>4763</v>
      </c>
      <c r="H5520" t="s">
        <v>4031</v>
      </c>
    </row>
    <row r="5521" spans="4:8" x14ac:dyDescent="0.2">
      <c r="E5521" t="str">
        <f>"47630"</f>
        <v>47630</v>
      </c>
      <c r="H5521" t="s">
        <v>4031</v>
      </c>
    </row>
    <row r="5522" spans="4:8" x14ac:dyDescent="0.2">
      <c r="F5522" t="str">
        <f>"47630.0"</f>
        <v>47630.0</v>
      </c>
      <c r="H5522" t="s">
        <v>4031</v>
      </c>
    </row>
    <row r="5523" spans="4:8" x14ac:dyDescent="0.2">
      <c r="G5523" t="str">
        <f>"47630.01"</f>
        <v>47630.01</v>
      </c>
      <c r="H5523" t="s">
        <v>4031</v>
      </c>
    </row>
    <row r="5524" spans="4:8" x14ac:dyDescent="0.2">
      <c r="G5524" t="str">
        <f>"47630.02"</f>
        <v>47630.02</v>
      </c>
      <c r="H5524" t="s">
        <v>4032</v>
      </c>
    </row>
    <row r="5525" spans="4:8" x14ac:dyDescent="0.2">
      <c r="G5525" t="str">
        <f>"47630.03"</f>
        <v>47630.03</v>
      </c>
      <c r="H5525" t="s">
        <v>4033</v>
      </c>
    </row>
    <row r="5526" spans="4:8" x14ac:dyDescent="0.2">
      <c r="G5526" t="str">
        <f>"47630.04"</f>
        <v>47630.04</v>
      </c>
      <c r="H5526" t="s">
        <v>4034</v>
      </c>
    </row>
    <row r="5527" spans="4:8" x14ac:dyDescent="0.2">
      <c r="D5527" t="str">
        <f>"4764"</f>
        <v>4764</v>
      </c>
      <c r="H5527" t="s">
        <v>4035</v>
      </c>
    </row>
    <row r="5528" spans="4:8" x14ac:dyDescent="0.2">
      <c r="E5528" t="str">
        <f>"47640"</f>
        <v>47640</v>
      </c>
      <c r="H5528" t="s">
        <v>4035</v>
      </c>
    </row>
    <row r="5529" spans="4:8" x14ac:dyDescent="0.2">
      <c r="F5529" t="str">
        <f>"47640.0"</f>
        <v>47640.0</v>
      </c>
      <c r="H5529" t="s">
        <v>4035</v>
      </c>
    </row>
    <row r="5530" spans="4:8" x14ac:dyDescent="0.2">
      <c r="G5530" t="str">
        <f>"47640.00"</f>
        <v>47640.00</v>
      </c>
      <c r="H5530" t="s">
        <v>4035</v>
      </c>
    </row>
    <row r="5531" spans="4:8" x14ac:dyDescent="0.2">
      <c r="D5531" t="str">
        <f>"4769"</f>
        <v>4769</v>
      </c>
      <c r="H5531" t="s">
        <v>4036</v>
      </c>
    </row>
    <row r="5532" spans="4:8" x14ac:dyDescent="0.2">
      <c r="E5532" t="str">
        <f>"47691"</f>
        <v>47691</v>
      </c>
      <c r="H5532" t="s">
        <v>4037</v>
      </c>
    </row>
    <row r="5533" spans="4:8" x14ac:dyDescent="0.2">
      <c r="F5533" t="str">
        <f>"47691.0"</f>
        <v>47691.0</v>
      </c>
      <c r="H5533" t="s">
        <v>4037</v>
      </c>
    </row>
    <row r="5534" spans="4:8" x14ac:dyDescent="0.2">
      <c r="G5534" t="str">
        <f>"47691.00"</f>
        <v>47691.00</v>
      </c>
      <c r="H5534" t="s">
        <v>4037</v>
      </c>
    </row>
    <row r="5535" spans="4:8" x14ac:dyDescent="0.2">
      <c r="E5535" t="str">
        <f>"47699"</f>
        <v>47699</v>
      </c>
      <c r="H5535" t="s">
        <v>4038</v>
      </c>
    </row>
    <row r="5536" spans="4:8" x14ac:dyDescent="0.2">
      <c r="F5536" t="str">
        <f>"47699.0"</f>
        <v>47699.0</v>
      </c>
      <c r="H5536" t="s">
        <v>4039</v>
      </c>
    </row>
    <row r="5537" spans="3:8" x14ac:dyDescent="0.2">
      <c r="G5537" t="str">
        <f>"47699.01"</f>
        <v>47699.01</v>
      </c>
      <c r="H5537" t="s">
        <v>4040</v>
      </c>
    </row>
    <row r="5538" spans="3:8" x14ac:dyDescent="0.2">
      <c r="G5538" t="str">
        <f>"47699.09"</f>
        <v>47699.09</v>
      </c>
      <c r="H5538" t="s">
        <v>4039</v>
      </c>
    </row>
    <row r="5539" spans="3:8" x14ac:dyDescent="0.2">
      <c r="C5539" t="str">
        <f>"477"</f>
        <v>477</v>
      </c>
      <c r="H5539" t="s">
        <v>4041</v>
      </c>
    </row>
    <row r="5540" spans="3:8" x14ac:dyDescent="0.2">
      <c r="D5540" t="str">
        <f>"4771"</f>
        <v>4771</v>
      </c>
      <c r="H5540" t="s">
        <v>4042</v>
      </c>
    </row>
    <row r="5541" spans="3:8" x14ac:dyDescent="0.2">
      <c r="E5541" t="str">
        <f>"47711"</f>
        <v>47711</v>
      </c>
      <c r="H5541" t="s">
        <v>4043</v>
      </c>
    </row>
    <row r="5542" spans="3:8" x14ac:dyDescent="0.2">
      <c r="F5542" t="str">
        <f>"47711.0"</f>
        <v>47711.0</v>
      </c>
      <c r="H5542" t="s">
        <v>4043</v>
      </c>
    </row>
    <row r="5543" spans="3:8" x14ac:dyDescent="0.2">
      <c r="G5543" t="str">
        <f>"47711.00"</f>
        <v>47711.00</v>
      </c>
      <c r="H5543" t="s">
        <v>4043</v>
      </c>
    </row>
    <row r="5544" spans="3:8" x14ac:dyDescent="0.2">
      <c r="E5544" t="str">
        <f>"47712"</f>
        <v>47712</v>
      </c>
      <c r="H5544" t="s">
        <v>4044</v>
      </c>
    </row>
    <row r="5545" spans="3:8" x14ac:dyDescent="0.2">
      <c r="F5545" t="str">
        <f>"47712.0"</f>
        <v>47712.0</v>
      </c>
      <c r="H5545" t="s">
        <v>4044</v>
      </c>
    </row>
    <row r="5546" spans="3:8" x14ac:dyDescent="0.2">
      <c r="G5546" t="str">
        <f>"47712.00"</f>
        <v>47712.00</v>
      </c>
      <c r="H5546" t="s">
        <v>4044</v>
      </c>
    </row>
    <row r="5547" spans="3:8" x14ac:dyDescent="0.2">
      <c r="E5547" t="str">
        <f>"47713"</f>
        <v>47713</v>
      </c>
      <c r="H5547" t="s">
        <v>4045</v>
      </c>
    </row>
    <row r="5548" spans="3:8" x14ac:dyDescent="0.2">
      <c r="F5548" t="str">
        <f>"47713.0"</f>
        <v>47713.0</v>
      </c>
      <c r="H5548" t="s">
        <v>4045</v>
      </c>
    </row>
    <row r="5549" spans="3:8" x14ac:dyDescent="0.2">
      <c r="G5549" t="str">
        <f>"47713.00"</f>
        <v>47713.00</v>
      </c>
      <c r="H5549" t="s">
        <v>4045</v>
      </c>
    </row>
    <row r="5550" spans="3:8" x14ac:dyDescent="0.2">
      <c r="D5550" t="str">
        <f>"4772"</f>
        <v>4772</v>
      </c>
      <c r="H5550" t="s">
        <v>4046</v>
      </c>
    </row>
    <row r="5551" spans="3:8" x14ac:dyDescent="0.2">
      <c r="E5551" t="str">
        <f>"47721"</f>
        <v>47721</v>
      </c>
      <c r="H5551" t="s">
        <v>4047</v>
      </c>
    </row>
    <row r="5552" spans="3:8" x14ac:dyDescent="0.2">
      <c r="F5552" t="str">
        <f>"47721.0"</f>
        <v>47721.0</v>
      </c>
      <c r="H5552" t="s">
        <v>4047</v>
      </c>
    </row>
    <row r="5553" spans="4:8" x14ac:dyDescent="0.2">
      <c r="G5553" t="str">
        <f>"47721.01"</f>
        <v>47721.01</v>
      </c>
      <c r="H5553" t="s">
        <v>4048</v>
      </c>
    </row>
    <row r="5554" spans="4:8" x14ac:dyDescent="0.2">
      <c r="G5554" t="str">
        <f>"47721.02"</f>
        <v>47721.02</v>
      </c>
      <c r="H5554" t="s">
        <v>4049</v>
      </c>
    </row>
    <row r="5555" spans="4:8" x14ac:dyDescent="0.2">
      <c r="E5555" t="str">
        <f>"47722"</f>
        <v>47722</v>
      </c>
      <c r="H5555" t="s">
        <v>4050</v>
      </c>
    </row>
    <row r="5556" spans="4:8" x14ac:dyDescent="0.2">
      <c r="F5556" t="str">
        <f>"47722.0"</f>
        <v>47722.0</v>
      </c>
      <c r="H5556" t="s">
        <v>4050</v>
      </c>
    </row>
    <row r="5557" spans="4:8" x14ac:dyDescent="0.2">
      <c r="G5557" t="str">
        <f>"47722.00"</f>
        <v>47722.00</v>
      </c>
      <c r="H5557" t="s">
        <v>4050</v>
      </c>
    </row>
    <row r="5558" spans="4:8" x14ac:dyDescent="0.2">
      <c r="E5558" t="str">
        <f>"47723"</f>
        <v>47723</v>
      </c>
      <c r="H5558" t="s">
        <v>4051</v>
      </c>
    </row>
    <row r="5559" spans="4:8" x14ac:dyDescent="0.2">
      <c r="F5559" t="str">
        <f>"47723.0"</f>
        <v>47723.0</v>
      </c>
      <c r="H5559" t="s">
        <v>4051</v>
      </c>
    </row>
    <row r="5560" spans="4:8" x14ac:dyDescent="0.2">
      <c r="G5560" t="str">
        <f>"47723.00"</f>
        <v>47723.00</v>
      </c>
      <c r="H5560" t="s">
        <v>4051</v>
      </c>
    </row>
    <row r="5561" spans="4:8" x14ac:dyDescent="0.2">
      <c r="D5561" t="str">
        <f>"4773"</f>
        <v>4773</v>
      </c>
      <c r="H5561" t="s">
        <v>4052</v>
      </c>
    </row>
    <row r="5562" spans="4:8" x14ac:dyDescent="0.2">
      <c r="E5562" t="str">
        <f>"47731"</f>
        <v>47731</v>
      </c>
      <c r="H5562" t="s">
        <v>4053</v>
      </c>
    </row>
    <row r="5563" spans="4:8" x14ac:dyDescent="0.2">
      <c r="F5563" t="str">
        <f>"47731.0"</f>
        <v>47731.0</v>
      </c>
      <c r="H5563" t="s">
        <v>4054</v>
      </c>
    </row>
    <row r="5564" spans="4:8" x14ac:dyDescent="0.2">
      <c r="G5564" t="str">
        <f>"47731.01"</f>
        <v>47731.01</v>
      </c>
      <c r="H5564" t="s">
        <v>4055</v>
      </c>
    </row>
    <row r="5565" spans="4:8" x14ac:dyDescent="0.2">
      <c r="G5565" t="str">
        <f>"47731.02"</f>
        <v>47731.02</v>
      </c>
      <c r="H5565" t="s">
        <v>4056</v>
      </c>
    </row>
    <row r="5566" spans="4:8" x14ac:dyDescent="0.2">
      <c r="E5566" t="str">
        <f>"47732"</f>
        <v>47732</v>
      </c>
      <c r="H5566" t="s">
        <v>4057</v>
      </c>
    </row>
    <row r="5567" spans="4:8" x14ac:dyDescent="0.2">
      <c r="F5567" t="str">
        <f>"47732.0"</f>
        <v>47732.0</v>
      </c>
      <c r="H5567" t="s">
        <v>4057</v>
      </c>
    </row>
    <row r="5568" spans="4:8" x14ac:dyDescent="0.2">
      <c r="G5568" t="str">
        <f>"47732.00"</f>
        <v>47732.00</v>
      </c>
      <c r="H5568" t="s">
        <v>4057</v>
      </c>
    </row>
    <row r="5569" spans="4:8" x14ac:dyDescent="0.2">
      <c r="E5569" t="str">
        <f>"47733"</f>
        <v>47733</v>
      </c>
      <c r="H5569" t="s">
        <v>4058</v>
      </c>
    </row>
    <row r="5570" spans="4:8" x14ac:dyDescent="0.2">
      <c r="F5570" t="str">
        <f>"47733.0"</f>
        <v>47733.0</v>
      </c>
      <c r="H5570" t="s">
        <v>4059</v>
      </c>
    </row>
    <row r="5571" spans="4:8" x14ac:dyDescent="0.2">
      <c r="G5571" t="str">
        <f>"47733.01"</f>
        <v>47733.01</v>
      </c>
      <c r="H5571" t="s">
        <v>4060</v>
      </c>
    </row>
    <row r="5572" spans="4:8" x14ac:dyDescent="0.2">
      <c r="G5572" t="str">
        <f>"47733.02"</f>
        <v>47733.02</v>
      </c>
      <c r="H5572" t="s">
        <v>4061</v>
      </c>
    </row>
    <row r="5573" spans="4:8" x14ac:dyDescent="0.2">
      <c r="E5573" t="str">
        <f>"47734"</f>
        <v>47734</v>
      </c>
      <c r="H5573" t="s">
        <v>4062</v>
      </c>
    </row>
    <row r="5574" spans="4:8" x14ac:dyDescent="0.2">
      <c r="F5574" t="str">
        <f>"47734.0"</f>
        <v>47734.0</v>
      </c>
      <c r="H5574" t="s">
        <v>4062</v>
      </c>
    </row>
    <row r="5575" spans="4:8" x14ac:dyDescent="0.2">
      <c r="G5575" t="str">
        <f>"47734.00"</f>
        <v>47734.00</v>
      </c>
      <c r="H5575" t="s">
        <v>4062</v>
      </c>
    </row>
    <row r="5576" spans="4:8" x14ac:dyDescent="0.2">
      <c r="E5576" t="str">
        <f>"47735"</f>
        <v>47735</v>
      </c>
      <c r="H5576" t="s">
        <v>4063</v>
      </c>
    </row>
    <row r="5577" spans="4:8" x14ac:dyDescent="0.2">
      <c r="F5577" t="str">
        <f>"47735.0"</f>
        <v>47735.0</v>
      </c>
      <c r="H5577" t="s">
        <v>4064</v>
      </c>
    </row>
    <row r="5578" spans="4:8" x14ac:dyDescent="0.2">
      <c r="G5578" t="str">
        <f>"47735.00"</f>
        <v>47735.00</v>
      </c>
      <c r="H5578" t="s">
        <v>4064</v>
      </c>
    </row>
    <row r="5579" spans="4:8" x14ac:dyDescent="0.2">
      <c r="E5579" t="str">
        <f>"47739"</f>
        <v>47739</v>
      </c>
      <c r="H5579" t="s">
        <v>4065</v>
      </c>
    </row>
    <row r="5580" spans="4:8" x14ac:dyDescent="0.2">
      <c r="F5580" t="str">
        <f>"47739.0"</f>
        <v>47739.0</v>
      </c>
      <c r="H5580" t="s">
        <v>4066</v>
      </c>
    </row>
    <row r="5581" spans="4:8" x14ac:dyDescent="0.2">
      <c r="G5581" t="str">
        <f>"47739.01"</f>
        <v>47739.01</v>
      </c>
      <c r="H5581" t="s">
        <v>4067</v>
      </c>
    </row>
    <row r="5582" spans="4:8" x14ac:dyDescent="0.2">
      <c r="G5582" t="str">
        <f>"47739.09"</f>
        <v>47739.09</v>
      </c>
      <c r="H5582" t="s">
        <v>4066</v>
      </c>
    </row>
    <row r="5583" spans="4:8" x14ac:dyDescent="0.2">
      <c r="D5583" t="str">
        <f>"4774"</f>
        <v>4774</v>
      </c>
      <c r="H5583" t="s">
        <v>4068</v>
      </c>
    </row>
    <row r="5584" spans="4:8" x14ac:dyDescent="0.2">
      <c r="E5584" t="str">
        <f>"47741"</f>
        <v>47741</v>
      </c>
      <c r="H5584" t="s">
        <v>4069</v>
      </c>
    </row>
    <row r="5585" spans="5:8" x14ac:dyDescent="0.2">
      <c r="F5585" t="str">
        <f>"47741.0"</f>
        <v>47741.0</v>
      </c>
      <c r="H5585" t="s">
        <v>4070</v>
      </c>
    </row>
    <row r="5586" spans="5:8" x14ac:dyDescent="0.2">
      <c r="G5586" t="str">
        <f>"47741.00"</f>
        <v>47741.00</v>
      </c>
      <c r="H5586" t="s">
        <v>4070</v>
      </c>
    </row>
    <row r="5587" spans="5:8" x14ac:dyDescent="0.2">
      <c r="E5587" t="str">
        <f>"47742"</f>
        <v>47742</v>
      </c>
      <c r="H5587" t="s">
        <v>4071</v>
      </c>
    </row>
    <row r="5588" spans="5:8" x14ac:dyDescent="0.2">
      <c r="F5588" t="str">
        <f>"47742.0"</f>
        <v>47742.0</v>
      </c>
      <c r="H5588" t="s">
        <v>4072</v>
      </c>
    </row>
    <row r="5589" spans="5:8" x14ac:dyDescent="0.2">
      <c r="G5589" t="str">
        <f>"47742.00"</f>
        <v>47742.00</v>
      </c>
      <c r="H5589" t="s">
        <v>4072</v>
      </c>
    </row>
    <row r="5590" spans="5:8" x14ac:dyDescent="0.2">
      <c r="E5590" t="str">
        <f>"47743"</f>
        <v>47743</v>
      </c>
      <c r="H5590" t="s">
        <v>4073</v>
      </c>
    </row>
    <row r="5591" spans="5:8" x14ac:dyDescent="0.2">
      <c r="F5591" t="str">
        <f>"47743.0"</f>
        <v>47743.0</v>
      </c>
      <c r="H5591" t="s">
        <v>4074</v>
      </c>
    </row>
    <row r="5592" spans="5:8" x14ac:dyDescent="0.2">
      <c r="G5592" t="str">
        <f>"47743.00"</f>
        <v>47743.00</v>
      </c>
      <c r="H5592" t="s">
        <v>4074</v>
      </c>
    </row>
    <row r="5593" spans="5:8" x14ac:dyDescent="0.2">
      <c r="E5593" t="str">
        <f>"47744"</f>
        <v>47744</v>
      </c>
      <c r="H5593" t="s">
        <v>4075</v>
      </c>
    </row>
    <row r="5594" spans="5:8" x14ac:dyDescent="0.2">
      <c r="F5594" t="str">
        <f>"47744.0"</f>
        <v>47744.0</v>
      </c>
      <c r="H5594" t="s">
        <v>4076</v>
      </c>
    </row>
    <row r="5595" spans="5:8" x14ac:dyDescent="0.2">
      <c r="G5595" t="str">
        <f>"47744.00"</f>
        <v>47744.00</v>
      </c>
      <c r="H5595" t="s">
        <v>4076</v>
      </c>
    </row>
    <row r="5596" spans="5:8" x14ac:dyDescent="0.2">
      <c r="E5596" t="str">
        <f>"47745"</f>
        <v>47745</v>
      </c>
      <c r="H5596" t="s">
        <v>4077</v>
      </c>
    </row>
    <row r="5597" spans="5:8" x14ac:dyDescent="0.2">
      <c r="F5597" t="str">
        <f>"47745.0"</f>
        <v>47745.0</v>
      </c>
      <c r="H5597" t="s">
        <v>4078</v>
      </c>
    </row>
    <row r="5598" spans="5:8" x14ac:dyDescent="0.2">
      <c r="G5598" t="str">
        <f>"47745.00"</f>
        <v>47745.00</v>
      </c>
      <c r="H5598" t="s">
        <v>4078</v>
      </c>
    </row>
    <row r="5599" spans="5:8" x14ac:dyDescent="0.2">
      <c r="E5599" t="str">
        <f>"47749"</f>
        <v>47749</v>
      </c>
      <c r="H5599" t="s">
        <v>4079</v>
      </c>
    </row>
    <row r="5600" spans="5:8" x14ac:dyDescent="0.2">
      <c r="F5600" t="str">
        <f>"47749.0"</f>
        <v>47749.0</v>
      </c>
      <c r="H5600" t="s">
        <v>4080</v>
      </c>
    </row>
    <row r="5601" spans="3:8" x14ac:dyDescent="0.2">
      <c r="G5601" t="str">
        <f>"47749.00"</f>
        <v>47749.00</v>
      </c>
      <c r="H5601" t="s">
        <v>4080</v>
      </c>
    </row>
    <row r="5602" spans="3:8" x14ac:dyDescent="0.2">
      <c r="C5602" t="str">
        <f>"478"</f>
        <v>478</v>
      </c>
      <c r="H5602" t="s">
        <v>4081</v>
      </c>
    </row>
    <row r="5603" spans="3:8" x14ac:dyDescent="0.2">
      <c r="D5603" t="str">
        <f>"4781"</f>
        <v>4781</v>
      </c>
      <c r="H5603" t="s">
        <v>4082</v>
      </c>
    </row>
    <row r="5604" spans="3:8" x14ac:dyDescent="0.2">
      <c r="E5604" t="str">
        <f>"47811"</f>
        <v>47811</v>
      </c>
      <c r="H5604" t="s">
        <v>4083</v>
      </c>
    </row>
    <row r="5605" spans="3:8" x14ac:dyDescent="0.2">
      <c r="F5605" t="str">
        <f>"47811.0"</f>
        <v>47811.0</v>
      </c>
      <c r="H5605" t="s">
        <v>4084</v>
      </c>
    </row>
    <row r="5606" spans="3:8" x14ac:dyDescent="0.2">
      <c r="G5606" t="str">
        <f>"47811.01"</f>
        <v>47811.01</v>
      </c>
      <c r="H5606" t="s">
        <v>4085</v>
      </c>
    </row>
    <row r="5607" spans="3:8" x14ac:dyDescent="0.2">
      <c r="G5607" t="str">
        <f>"47811.02"</f>
        <v>47811.02</v>
      </c>
      <c r="H5607" t="s">
        <v>4086</v>
      </c>
    </row>
    <row r="5608" spans="3:8" x14ac:dyDescent="0.2">
      <c r="G5608" t="str">
        <f>"47811.03"</f>
        <v>47811.03</v>
      </c>
      <c r="H5608" t="s">
        <v>4087</v>
      </c>
    </row>
    <row r="5609" spans="3:8" x14ac:dyDescent="0.2">
      <c r="G5609" t="str">
        <f>"47811.04"</f>
        <v>47811.04</v>
      </c>
      <c r="H5609" t="s">
        <v>4088</v>
      </c>
    </row>
    <row r="5610" spans="3:8" x14ac:dyDescent="0.2">
      <c r="G5610" t="str">
        <f>"47811.09"</f>
        <v>47811.09</v>
      </c>
      <c r="H5610" t="s">
        <v>4089</v>
      </c>
    </row>
    <row r="5611" spans="3:8" x14ac:dyDescent="0.2">
      <c r="E5611" t="str">
        <f>"47812"</f>
        <v>47812</v>
      </c>
      <c r="H5611" t="s">
        <v>4090</v>
      </c>
    </row>
    <row r="5612" spans="3:8" x14ac:dyDescent="0.2">
      <c r="F5612" t="str">
        <f>"47812.0"</f>
        <v>47812.0</v>
      </c>
      <c r="H5612" t="s">
        <v>4091</v>
      </c>
    </row>
    <row r="5613" spans="3:8" x14ac:dyDescent="0.2">
      <c r="G5613" t="str">
        <f>"47812.01"</f>
        <v>47812.01</v>
      </c>
      <c r="H5613" t="s">
        <v>4092</v>
      </c>
    </row>
    <row r="5614" spans="3:8" x14ac:dyDescent="0.2">
      <c r="G5614" t="str">
        <f>"47812.02"</f>
        <v>47812.02</v>
      </c>
      <c r="H5614" t="s">
        <v>4093</v>
      </c>
    </row>
    <row r="5615" spans="3:8" x14ac:dyDescent="0.2">
      <c r="E5615" t="str">
        <f>"47813"</f>
        <v>47813</v>
      </c>
      <c r="H5615" t="s">
        <v>4094</v>
      </c>
    </row>
    <row r="5616" spans="3:8" x14ac:dyDescent="0.2">
      <c r="F5616" t="str">
        <f>"47813.0"</f>
        <v>47813.0</v>
      </c>
      <c r="H5616" t="s">
        <v>4095</v>
      </c>
    </row>
    <row r="5617" spans="4:8" x14ac:dyDescent="0.2">
      <c r="G5617" t="str">
        <f>"47813.00"</f>
        <v>47813.00</v>
      </c>
      <c r="H5617" t="s">
        <v>4095</v>
      </c>
    </row>
    <row r="5618" spans="4:8" x14ac:dyDescent="0.2">
      <c r="D5618" t="str">
        <f>"4782"</f>
        <v>4782</v>
      </c>
      <c r="H5618" t="s">
        <v>4096</v>
      </c>
    </row>
    <row r="5619" spans="4:8" x14ac:dyDescent="0.2">
      <c r="E5619" t="str">
        <f>"47821"</f>
        <v>47821</v>
      </c>
      <c r="H5619" t="s">
        <v>4097</v>
      </c>
    </row>
    <row r="5620" spans="4:8" x14ac:dyDescent="0.2">
      <c r="F5620" t="str">
        <f>"47821.0"</f>
        <v>47821.0</v>
      </c>
      <c r="H5620" t="s">
        <v>4098</v>
      </c>
    </row>
    <row r="5621" spans="4:8" x14ac:dyDescent="0.2">
      <c r="G5621" t="str">
        <f>"47821.00"</f>
        <v>47821.00</v>
      </c>
      <c r="H5621" t="s">
        <v>4097</v>
      </c>
    </row>
    <row r="5622" spans="4:8" x14ac:dyDescent="0.2">
      <c r="E5622" t="str">
        <f>"47822"</f>
        <v>47822</v>
      </c>
      <c r="H5622" t="s">
        <v>4099</v>
      </c>
    </row>
    <row r="5623" spans="4:8" x14ac:dyDescent="0.2">
      <c r="F5623" t="str">
        <f>"47822.0"</f>
        <v>47822.0</v>
      </c>
      <c r="H5623" t="s">
        <v>4100</v>
      </c>
    </row>
    <row r="5624" spans="4:8" x14ac:dyDescent="0.2">
      <c r="G5624" t="str">
        <f>"47822.01"</f>
        <v>47822.01</v>
      </c>
      <c r="H5624" t="s">
        <v>4101</v>
      </c>
    </row>
    <row r="5625" spans="4:8" x14ac:dyDescent="0.2">
      <c r="G5625" t="str">
        <f>"47822.02"</f>
        <v>47822.02</v>
      </c>
      <c r="H5625" t="s">
        <v>4102</v>
      </c>
    </row>
    <row r="5626" spans="4:8" x14ac:dyDescent="0.2">
      <c r="G5626" t="str">
        <f>"47822.03"</f>
        <v>47822.03</v>
      </c>
      <c r="H5626" t="s">
        <v>4103</v>
      </c>
    </row>
    <row r="5627" spans="4:8" x14ac:dyDescent="0.2">
      <c r="D5627" t="str">
        <f>"4789"</f>
        <v>4789</v>
      </c>
      <c r="H5627" t="s">
        <v>4104</v>
      </c>
    </row>
    <row r="5628" spans="4:8" x14ac:dyDescent="0.2">
      <c r="E5628" t="str">
        <f>"47891"</f>
        <v>47891</v>
      </c>
      <c r="H5628" t="s">
        <v>4105</v>
      </c>
    </row>
    <row r="5629" spans="4:8" x14ac:dyDescent="0.2">
      <c r="F5629" t="str">
        <f>"47891.0"</f>
        <v>47891.0</v>
      </c>
      <c r="H5629" t="s">
        <v>4106</v>
      </c>
    </row>
    <row r="5630" spans="4:8" x14ac:dyDescent="0.2">
      <c r="G5630" t="str">
        <f>"47891.01"</f>
        <v>47891.01</v>
      </c>
      <c r="H5630" t="s">
        <v>4107</v>
      </c>
    </row>
    <row r="5631" spans="4:8" x14ac:dyDescent="0.2">
      <c r="G5631" t="str">
        <f>"47891.02"</f>
        <v>47891.02</v>
      </c>
      <c r="H5631" t="s">
        <v>4108</v>
      </c>
    </row>
    <row r="5632" spans="4:8" x14ac:dyDescent="0.2">
      <c r="E5632" t="str">
        <f>"47892"</f>
        <v>47892</v>
      </c>
      <c r="H5632" t="s">
        <v>4109</v>
      </c>
    </row>
    <row r="5633" spans="5:8" x14ac:dyDescent="0.2">
      <c r="F5633" t="str">
        <f>"47892.0"</f>
        <v>47892.0</v>
      </c>
      <c r="H5633" t="s">
        <v>4110</v>
      </c>
    </row>
    <row r="5634" spans="5:8" x14ac:dyDescent="0.2">
      <c r="G5634" t="str">
        <f>"47892.01"</f>
        <v>47892.01</v>
      </c>
      <c r="H5634" t="s">
        <v>4111</v>
      </c>
    </row>
    <row r="5635" spans="5:8" x14ac:dyDescent="0.2">
      <c r="G5635" t="str">
        <f>"47892.02"</f>
        <v>47892.02</v>
      </c>
      <c r="H5635" t="s">
        <v>4112</v>
      </c>
    </row>
    <row r="5636" spans="5:8" x14ac:dyDescent="0.2">
      <c r="G5636" t="str">
        <f>"47892.03"</f>
        <v>47892.03</v>
      </c>
      <c r="H5636" t="s">
        <v>4113</v>
      </c>
    </row>
    <row r="5637" spans="5:8" x14ac:dyDescent="0.2">
      <c r="E5637" t="str">
        <f>"47893"</f>
        <v>47893</v>
      </c>
      <c r="H5637" t="s">
        <v>4114</v>
      </c>
    </row>
    <row r="5638" spans="5:8" x14ac:dyDescent="0.2">
      <c r="F5638" t="str">
        <f>"47893.0"</f>
        <v>47893.0</v>
      </c>
      <c r="H5638" t="s">
        <v>4114</v>
      </c>
    </row>
    <row r="5639" spans="5:8" x14ac:dyDescent="0.2">
      <c r="G5639" t="str">
        <f>"47893.01"</f>
        <v>47893.01</v>
      </c>
      <c r="H5639" t="s">
        <v>4115</v>
      </c>
    </row>
    <row r="5640" spans="5:8" x14ac:dyDescent="0.2">
      <c r="G5640" t="str">
        <f>"47893.02"</f>
        <v>47893.02</v>
      </c>
      <c r="H5640" t="s">
        <v>4116</v>
      </c>
    </row>
    <row r="5641" spans="5:8" x14ac:dyDescent="0.2">
      <c r="E5641" t="str">
        <f>"47894"</f>
        <v>47894</v>
      </c>
      <c r="H5641" t="s">
        <v>4117</v>
      </c>
    </row>
    <row r="5642" spans="5:8" x14ac:dyDescent="0.2">
      <c r="F5642" t="str">
        <f>"47894.0"</f>
        <v>47894.0</v>
      </c>
      <c r="H5642" t="s">
        <v>4118</v>
      </c>
    </row>
    <row r="5643" spans="5:8" x14ac:dyDescent="0.2">
      <c r="G5643" t="str">
        <f>"47894.00"</f>
        <v>47894.00</v>
      </c>
      <c r="H5643" t="s">
        <v>4118</v>
      </c>
    </row>
    <row r="5644" spans="5:8" x14ac:dyDescent="0.2">
      <c r="E5644" t="str">
        <f>"47895"</f>
        <v>47895</v>
      </c>
      <c r="H5644" t="s">
        <v>4119</v>
      </c>
    </row>
    <row r="5645" spans="5:8" x14ac:dyDescent="0.2">
      <c r="F5645" t="str">
        <f>"47895.0"</f>
        <v>47895.0</v>
      </c>
      <c r="H5645" t="s">
        <v>4120</v>
      </c>
    </row>
    <row r="5646" spans="5:8" x14ac:dyDescent="0.2">
      <c r="G5646" t="str">
        <f>"47895.01"</f>
        <v>47895.01</v>
      </c>
      <c r="H5646" t="s">
        <v>4121</v>
      </c>
    </row>
    <row r="5647" spans="5:8" x14ac:dyDescent="0.2">
      <c r="G5647" t="str">
        <f>"47895.02"</f>
        <v>47895.02</v>
      </c>
      <c r="H5647" t="s">
        <v>4122</v>
      </c>
    </row>
    <row r="5648" spans="5:8" x14ac:dyDescent="0.2">
      <c r="G5648" t="str">
        <f>"47895.03"</f>
        <v>47895.03</v>
      </c>
      <c r="H5648" t="s">
        <v>4123</v>
      </c>
    </row>
    <row r="5649" spans="5:8" x14ac:dyDescent="0.2">
      <c r="E5649" t="str">
        <f>"47896"</f>
        <v>47896</v>
      </c>
      <c r="H5649" t="s">
        <v>4124</v>
      </c>
    </row>
    <row r="5650" spans="5:8" x14ac:dyDescent="0.2">
      <c r="F5650" t="str">
        <f>"47896.0"</f>
        <v>47896.0</v>
      </c>
      <c r="H5650" t="s">
        <v>4124</v>
      </c>
    </row>
    <row r="5651" spans="5:8" x14ac:dyDescent="0.2">
      <c r="G5651" t="str">
        <f>"47896.01"</f>
        <v>47896.01</v>
      </c>
      <c r="H5651" t="s">
        <v>4125</v>
      </c>
    </row>
    <row r="5652" spans="5:8" x14ac:dyDescent="0.2">
      <c r="G5652" t="str">
        <f>"47896.02"</f>
        <v>47896.02</v>
      </c>
      <c r="H5652" t="s">
        <v>4126</v>
      </c>
    </row>
    <row r="5653" spans="5:8" x14ac:dyDescent="0.2">
      <c r="E5653" t="str">
        <f>"47897"</f>
        <v>47897</v>
      </c>
      <c r="H5653" t="s">
        <v>4127</v>
      </c>
    </row>
    <row r="5654" spans="5:8" x14ac:dyDescent="0.2">
      <c r="F5654" t="str">
        <f>"47897.0"</f>
        <v>47897.0</v>
      </c>
      <c r="H5654" t="s">
        <v>4127</v>
      </c>
    </row>
    <row r="5655" spans="5:8" x14ac:dyDescent="0.2">
      <c r="G5655" t="str">
        <f>"47897.01"</f>
        <v>47897.01</v>
      </c>
      <c r="H5655" t="s">
        <v>4128</v>
      </c>
    </row>
    <row r="5656" spans="5:8" x14ac:dyDescent="0.2">
      <c r="G5656" t="str">
        <f>"47897.02"</f>
        <v>47897.02</v>
      </c>
      <c r="H5656" t="s">
        <v>4129</v>
      </c>
    </row>
    <row r="5657" spans="5:8" x14ac:dyDescent="0.2">
      <c r="G5657" t="str">
        <f>"47897.03"</f>
        <v>47897.03</v>
      </c>
      <c r="H5657" t="s">
        <v>4130</v>
      </c>
    </row>
    <row r="5658" spans="5:8" x14ac:dyDescent="0.2">
      <c r="E5658" t="str">
        <f>"47899"</f>
        <v>47899</v>
      </c>
      <c r="H5658" t="s">
        <v>4131</v>
      </c>
    </row>
    <row r="5659" spans="5:8" x14ac:dyDescent="0.2">
      <c r="F5659" t="str">
        <f>"47899.1"</f>
        <v>47899.1</v>
      </c>
      <c r="H5659" t="s">
        <v>4132</v>
      </c>
    </row>
    <row r="5660" spans="5:8" x14ac:dyDescent="0.2">
      <c r="G5660" t="str">
        <f>"47899.11"</f>
        <v>47899.11</v>
      </c>
      <c r="H5660" t="s">
        <v>4133</v>
      </c>
    </row>
    <row r="5661" spans="5:8" x14ac:dyDescent="0.2">
      <c r="G5661" t="str">
        <f>"47899.12"</f>
        <v>47899.12</v>
      </c>
      <c r="H5661" t="s">
        <v>4134</v>
      </c>
    </row>
    <row r="5662" spans="5:8" x14ac:dyDescent="0.2">
      <c r="G5662" t="str">
        <f>"47899.13"</f>
        <v>47899.13</v>
      </c>
      <c r="H5662" t="s">
        <v>4135</v>
      </c>
    </row>
    <row r="5663" spans="5:8" x14ac:dyDescent="0.2">
      <c r="G5663" t="str">
        <f>"47899.14"</f>
        <v>47899.14</v>
      </c>
      <c r="H5663" t="s">
        <v>4136</v>
      </c>
    </row>
    <row r="5664" spans="5:8" x14ac:dyDescent="0.2">
      <c r="G5664" t="str">
        <f>"47899.15"</f>
        <v>47899.15</v>
      </c>
      <c r="H5664" t="s">
        <v>4137</v>
      </c>
    </row>
    <row r="5665" spans="6:8" x14ac:dyDescent="0.2">
      <c r="G5665" t="str">
        <f>"47899.16"</f>
        <v>47899.16</v>
      </c>
      <c r="H5665" t="s">
        <v>4138</v>
      </c>
    </row>
    <row r="5666" spans="6:8" x14ac:dyDescent="0.2">
      <c r="G5666" t="str">
        <f>"47899.17"</f>
        <v>47899.17</v>
      </c>
      <c r="H5666" t="s">
        <v>4139</v>
      </c>
    </row>
    <row r="5667" spans="6:8" x14ac:dyDescent="0.2">
      <c r="G5667" t="str">
        <f>"47899.19"</f>
        <v>47899.19</v>
      </c>
      <c r="H5667" t="s">
        <v>4140</v>
      </c>
    </row>
    <row r="5668" spans="6:8" x14ac:dyDescent="0.2">
      <c r="F5668" t="str">
        <f>"47899.2"</f>
        <v>47899.2</v>
      </c>
      <c r="H5668" t="s">
        <v>4141</v>
      </c>
    </row>
    <row r="5669" spans="6:8" x14ac:dyDescent="0.2">
      <c r="G5669" t="str">
        <f>"47899.21"</f>
        <v>47899.21</v>
      </c>
      <c r="H5669" t="s">
        <v>4142</v>
      </c>
    </row>
    <row r="5670" spans="6:8" x14ac:dyDescent="0.2">
      <c r="G5670" t="str">
        <f>"47899.22"</f>
        <v>47899.22</v>
      </c>
      <c r="H5670" t="s">
        <v>4141</v>
      </c>
    </row>
    <row r="5671" spans="6:8" x14ac:dyDescent="0.2">
      <c r="F5671" t="str">
        <f>"47899.3"</f>
        <v>47899.3</v>
      </c>
      <c r="H5671" t="s">
        <v>4143</v>
      </c>
    </row>
    <row r="5672" spans="6:8" x14ac:dyDescent="0.2">
      <c r="G5672" t="str">
        <f>"47899.31"</f>
        <v>47899.31</v>
      </c>
      <c r="H5672" t="s">
        <v>4144</v>
      </c>
    </row>
    <row r="5673" spans="6:8" x14ac:dyDescent="0.2">
      <c r="G5673" t="str">
        <f>"47899.32"</f>
        <v>47899.32</v>
      </c>
      <c r="H5673" t="s">
        <v>4145</v>
      </c>
    </row>
    <row r="5674" spans="6:8" x14ac:dyDescent="0.2">
      <c r="G5674" t="str">
        <f>"47899.33"</f>
        <v>47899.33</v>
      </c>
      <c r="H5674" t="s">
        <v>4146</v>
      </c>
    </row>
    <row r="5675" spans="6:8" x14ac:dyDescent="0.2">
      <c r="G5675" t="str">
        <f>"47899.39"</f>
        <v>47899.39</v>
      </c>
      <c r="H5675" t="s">
        <v>4147</v>
      </c>
    </row>
    <row r="5676" spans="6:8" x14ac:dyDescent="0.2">
      <c r="F5676" t="str">
        <f>"47899.4"</f>
        <v>47899.4</v>
      </c>
      <c r="H5676" t="s">
        <v>4148</v>
      </c>
    </row>
    <row r="5677" spans="6:8" x14ac:dyDescent="0.2">
      <c r="G5677" t="str">
        <f>"47899.41"</f>
        <v>47899.41</v>
      </c>
      <c r="H5677" t="s">
        <v>4149</v>
      </c>
    </row>
    <row r="5678" spans="6:8" x14ac:dyDescent="0.2">
      <c r="G5678" t="str">
        <f>"47899.42"</f>
        <v>47899.42</v>
      </c>
      <c r="H5678" t="s">
        <v>4150</v>
      </c>
    </row>
    <row r="5679" spans="6:8" x14ac:dyDescent="0.2">
      <c r="G5679" t="str">
        <f>"47899.43"</f>
        <v>47899.43</v>
      </c>
      <c r="H5679" t="s">
        <v>4151</v>
      </c>
    </row>
    <row r="5680" spans="6:8" x14ac:dyDescent="0.2">
      <c r="G5680" t="str">
        <f>"47899.44"</f>
        <v>47899.44</v>
      </c>
      <c r="H5680" t="s">
        <v>4152</v>
      </c>
    </row>
    <row r="5681" spans="3:8" x14ac:dyDescent="0.2">
      <c r="G5681" t="str">
        <f>"47899.45"</f>
        <v>47899.45</v>
      </c>
      <c r="H5681" t="s">
        <v>4153</v>
      </c>
    </row>
    <row r="5682" spans="3:8" x14ac:dyDescent="0.2">
      <c r="G5682" t="str">
        <f>"47899.46"</f>
        <v>47899.46</v>
      </c>
      <c r="H5682" t="s">
        <v>4154</v>
      </c>
    </row>
    <row r="5683" spans="3:8" x14ac:dyDescent="0.2">
      <c r="G5683" t="str">
        <f>"47899.47"</f>
        <v>47899.47</v>
      </c>
      <c r="H5683" t="s">
        <v>4155</v>
      </c>
    </row>
    <row r="5684" spans="3:8" x14ac:dyDescent="0.2">
      <c r="G5684" t="str">
        <f>"47899.49"</f>
        <v>47899.49</v>
      </c>
      <c r="H5684" t="s">
        <v>4156</v>
      </c>
    </row>
    <row r="5685" spans="3:8" x14ac:dyDescent="0.2">
      <c r="F5685" t="str">
        <f>"47899.5"</f>
        <v>47899.5</v>
      </c>
      <c r="H5685" t="s">
        <v>4157</v>
      </c>
    </row>
    <row r="5686" spans="3:8" x14ac:dyDescent="0.2">
      <c r="G5686" t="str">
        <f>"47899.51"</f>
        <v>47899.51</v>
      </c>
      <c r="H5686" t="s">
        <v>4158</v>
      </c>
    </row>
    <row r="5687" spans="3:8" x14ac:dyDescent="0.2">
      <c r="G5687" t="str">
        <f>"47899.52"</f>
        <v>47899.52</v>
      </c>
      <c r="H5687" t="s">
        <v>4159</v>
      </c>
    </row>
    <row r="5688" spans="3:8" x14ac:dyDescent="0.2">
      <c r="G5688" t="str">
        <f>"47899.59"</f>
        <v>47899.59</v>
      </c>
      <c r="H5688" t="s">
        <v>4160</v>
      </c>
    </row>
    <row r="5689" spans="3:8" x14ac:dyDescent="0.2">
      <c r="F5689" t="str">
        <f>"47899.6"</f>
        <v>47899.6</v>
      </c>
      <c r="H5689" t="s">
        <v>4161</v>
      </c>
    </row>
    <row r="5690" spans="3:8" x14ac:dyDescent="0.2">
      <c r="G5690" t="str">
        <f>"47899.61"</f>
        <v>47899.61</v>
      </c>
      <c r="H5690" t="s">
        <v>4162</v>
      </c>
    </row>
    <row r="5691" spans="3:8" x14ac:dyDescent="0.2">
      <c r="G5691" t="str">
        <f>"47899.62"</f>
        <v>47899.62</v>
      </c>
      <c r="H5691" t="s">
        <v>4163</v>
      </c>
    </row>
    <row r="5692" spans="3:8" x14ac:dyDescent="0.2">
      <c r="G5692" t="str">
        <f>"47899.69"</f>
        <v>47899.69</v>
      </c>
      <c r="H5692" t="s">
        <v>4164</v>
      </c>
    </row>
    <row r="5693" spans="3:8" x14ac:dyDescent="0.2">
      <c r="C5693" t="str">
        <f>"479"</f>
        <v>479</v>
      </c>
      <c r="H5693" t="s">
        <v>4165</v>
      </c>
    </row>
    <row r="5694" spans="3:8" x14ac:dyDescent="0.2">
      <c r="D5694" t="str">
        <f>"4791"</f>
        <v>4791</v>
      </c>
      <c r="H5694" t="s">
        <v>4166</v>
      </c>
    </row>
    <row r="5695" spans="3:8" x14ac:dyDescent="0.2">
      <c r="E5695" t="str">
        <f>"47911"</f>
        <v>47911</v>
      </c>
      <c r="H5695" t="s">
        <v>4167</v>
      </c>
    </row>
    <row r="5696" spans="3:8" x14ac:dyDescent="0.2">
      <c r="F5696" t="str">
        <f>"47911.1"</f>
        <v>47911.1</v>
      </c>
      <c r="H5696" t="s">
        <v>4168</v>
      </c>
    </row>
    <row r="5697" spans="6:8" x14ac:dyDescent="0.2">
      <c r="G5697" t="str">
        <f>"47911.11"</f>
        <v>47911.11</v>
      </c>
      <c r="H5697" t="s">
        <v>4169</v>
      </c>
    </row>
    <row r="5698" spans="6:8" x14ac:dyDescent="0.2">
      <c r="G5698" t="str">
        <f>"47911.12"</f>
        <v>47911.12</v>
      </c>
      <c r="H5698" t="s">
        <v>4170</v>
      </c>
    </row>
    <row r="5699" spans="6:8" x14ac:dyDescent="0.2">
      <c r="G5699" t="str">
        <f>"47911.13"</f>
        <v>47911.13</v>
      </c>
      <c r="H5699" t="s">
        <v>4171</v>
      </c>
    </row>
    <row r="5700" spans="6:8" x14ac:dyDescent="0.2">
      <c r="F5700" t="str">
        <f>"47911.2"</f>
        <v>47911.2</v>
      </c>
      <c r="H5700" t="s">
        <v>4172</v>
      </c>
    </row>
    <row r="5701" spans="6:8" x14ac:dyDescent="0.2">
      <c r="G5701" t="str">
        <f>"47911.21"</f>
        <v>47911.21</v>
      </c>
      <c r="H5701" t="s">
        <v>4173</v>
      </c>
    </row>
    <row r="5702" spans="6:8" x14ac:dyDescent="0.2">
      <c r="G5702" t="str">
        <f>"47911.22"</f>
        <v>47911.22</v>
      </c>
      <c r="H5702" t="s">
        <v>4174</v>
      </c>
    </row>
    <row r="5703" spans="6:8" x14ac:dyDescent="0.2">
      <c r="F5703" t="str">
        <f>"47911.3"</f>
        <v>47911.3</v>
      </c>
      <c r="H5703" t="s">
        <v>4175</v>
      </c>
    </row>
    <row r="5704" spans="6:8" x14ac:dyDescent="0.2">
      <c r="G5704" t="str">
        <f>"47911.31"</f>
        <v>47911.31</v>
      </c>
      <c r="H5704" t="s">
        <v>4176</v>
      </c>
    </row>
    <row r="5705" spans="6:8" x14ac:dyDescent="0.2">
      <c r="G5705" t="str">
        <f>"47911.32"</f>
        <v>47911.32</v>
      </c>
      <c r="H5705" t="s">
        <v>4177</v>
      </c>
    </row>
    <row r="5706" spans="6:8" x14ac:dyDescent="0.2">
      <c r="G5706" t="str">
        <f>"47911.33"</f>
        <v>47911.33</v>
      </c>
      <c r="H5706" t="s">
        <v>4178</v>
      </c>
    </row>
    <row r="5707" spans="6:8" x14ac:dyDescent="0.2">
      <c r="F5707" t="str">
        <f>"47911.4"</f>
        <v>47911.4</v>
      </c>
      <c r="H5707" t="s">
        <v>4179</v>
      </c>
    </row>
    <row r="5708" spans="6:8" x14ac:dyDescent="0.2">
      <c r="G5708" t="str">
        <f>"47911.41"</f>
        <v>47911.41</v>
      </c>
      <c r="H5708" t="s">
        <v>4180</v>
      </c>
    </row>
    <row r="5709" spans="6:8" x14ac:dyDescent="0.2">
      <c r="G5709" t="str">
        <f>"47911.42"</f>
        <v>47911.42</v>
      </c>
      <c r="H5709" t="s">
        <v>4181</v>
      </c>
    </row>
    <row r="5710" spans="6:8" x14ac:dyDescent="0.2">
      <c r="G5710" t="str">
        <f>"47911.43"</f>
        <v>47911.43</v>
      </c>
      <c r="H5710" t="s">
        <v>4182</v>
      </c>
    </row>
    <row r="5711" spans="6:8" x14ac:dyDescent="0.2">
      <c r="G5711" t="str">
        <f>"47911.44"</f>
        <v>47911.44</v>
      </c>
      <c r="H5711" t="s">
        <v>4183</v>
      </c>
    </row>
    <row r="5712" spans="6:8" x14ac:dyDescent="0.2">
      <c r="G5712" t="str">
        <f>"47911.49"</f>
        <v>47911.49</v>
      </c>
      <c r="H5712" t="s">
        <v>4184</v>
      </c>
    </row>
    <row r="5713" spans="6:8" x14ac:dyDescent="0.2">
      <c r="F5713" t="str">
        <f>"47911.5"</f>
        <v>47911.5</v>
      </c>
      <c r="H5713" t="s">
        <v>4185</v>
      </c>
    </row>
    <row r="5714" spans="6:8" x14ac:dyDescent="0.2">
      <c r="G5714" t="str">
        <f>"47911.51"</f>
        <v>47911.51</v>
      </c>
      <c r="H5714" t="s">
        <v>4186</v>
      </c>
    </row>
    <row r="5715" spans="6:8" x14ac:dyDescent="0.2">
      <c r="G5715" t="str">
        <f>"47911.52"</f>
        <v>47911.52</v>
      </c>
      <c r="H5715" t="s">
        <v>4187</v>
      </c>
    </row>
    <row r="5716" spans="6:8" x14ac:dyDescent="0.2">
      <c r="G5716" t="str">
        <f>"47911.53"</f>
        <v>47911.53</v>
      </c>
      <c r="H5716" t="s">
        <v>4188</v>
      </c>
    </row>
    <row r="5717" spans="6:8" x14ac:dyDescent="0.2">
      <c r="G5717" t="str">
        <f>"47911.54"</f>
        <v>47911.54</v>
      </c>
      <c r="H5717" t="s">
        <v>4189</v>
      </c>
    </row>
    <row r="5718" spans="6:8" x14ac:dyDescent="0.2">
      <c r="G5718" t="str">
        <f>"47911.55"</f>
        <v>47911.55</v>
      </c>
      <c r="H5718" t="s">
        <v>4190</v>
      </c>
    </row>
    <row r="5719" spans="6:8" x14ac:dyDescent="0.2">
      <c r="G5719" t="str">
        <f>"47911.56"</f>
        <v>47911.56</v>
      </c>
      <c r="H5719" t="s">
        <v>4191</v>
      </c>
    </row>
    <row r="5720" spans="6:8" x14ac:dyDescent="0.2">
      <c r="G5720" t="str">
        <f>"47911.59"</f>
        <v>47911.59</v>
      </c>
      <c r="H5720" t="s">
        <v>4192</v>
      </c>
    </row>
    <row r="5721" spans="6:8" x14ac:dyDescent="0.2">
      <c r="F5721" t="str">
        <f>"47911.6"</f>
        <v>47911.6</v>
      </c>
      <c r="H5721" t="s">
        <v>4193</v>
      </c>
    </row>
    <row r="5722" spans="6:8" x14ac:dyDescent="0.2">
      <c r="G5722" t="str">
        <f>"47911.61"</f>
        <v>47911.61</v>
      </c>
      <c r="H5722" t="s">
        <v>4194</v>
      </c>
    </row>
    <row r="5723" spans="6:8" x14ac:dyDescent="0.2">
      <c r="G5723" t="str">
        <f>"47911.62"</f>
        <v>47911.62</v>
      </c>
      <c r="H5723" t="s">
        <v>4195</v>
      </c>
    </row>
    <row r="5724" spans="6:8" x14ac:dyDescent="0.2">
      <c r="G5724" t="str">
        <f>"47911.63"</f>
        <v>47911.63</v>
      </c>
      <c r="H5724" t="s">
        <v>4196</v>
      </c>
    </row>
    <row r="5725" spans="6:8" x14ac:dyDescent="0.2">
      <c r="G5725" t="str">
        <f>"47911.64"</f>
        <v>47911.64</v>
      </c>
      <c r="H5725" t="s">
        <v>4197</v>
      </c>
    </row>
    <row r="5726" spans="6:8" x14ac:dyDescent="0.2">
      <c r="G5726" t="str">
        <f>"47911.65"</f>
        <v>47911.65</v>
      </c>
      <c r="H5726" t="s">
        <v>4198</v>
      </c>
    </row>
    <row r="5727" spans="6:8" x14ac:dyDescent="0.2">
      <c r="G5727" t="str">
        <f>"47911.69"</f>
        <v>47911.69</v>
      </c>
      <c r="H5727" t="s">
        <v>4199</v>
      </c>
    </row>
    <row r="5728" spans="6:8" x14ac:dyDescent="0.2">
      <c r="F5728" t="str">
        <f>"47911.7"</f>
        <v>47911.7</v>
      </c>
      <c r="H5728" t="s">
        <v>4200</v>
      </c>
    </row>
    <row r="5729" spans="5:8" x14ac:dyDescent="0.2">
      <c r="G5729" t="str">
        <f>"47911.71"</f>
        <v>47911.71</v>
      </c>
      <c r="H5729" t="s">
        <v>4201</v>
      </c>
    </row>
    <row r="5730" spans="5:8" x14ac:dyDescent="0.2">
      <c r="G5730" t="str">
        <f>"47911.72"</f>
        <v>47911.72</v>
      </c>
      <c r="H5730" t="s">
        <v>4202</v>
      </c>
    </row>
    <row r="5731" spans="5:8" x14ac:dyDescent="0.2">
      <c r="G5731" t="str">
        <f>"47911.73"</f>
        <v>47911.73</v>
      </c>
      <c r="H5731" t="s">
        <v>4203</v>
      </c>
    </row>
    <row r="5732" spans="5:8" x14ac:dyDescent="0.2">
      <c r="F5732" t="str">
        <f>"47911.8"</f>
        <v>47911.8</v>
      </c>
      <c r="H5732" t="s">
        <v>4204</v>
      </c>
    </row>
    <row r="5733" spans="5:8" x14ac:dyDescent="0.2">
      <c r="G5733" t="str">
        <f>"47911.81"</f>
        <v>47911.81</v>
      </c>
      <c r="H5733" t="s">
        <v>4205</v>
      </c>
    </row>
    <row r="5734" spans="5:8" x14ac:dyDescent="0.2">
      <c r="G5734" t="str">
        <f>"47911.82"</f>
        <v>47911.82</v>
      </c>
      <c r="H5734" t="s">
        <v>4206</v>
      </c>
    </row>
    <row r="5735" spans="5:8" x14ac:dyDescent="0.2">
      <c r="G5735" t="str">
        <f>"47911.83"</f>
        <v>47911.83</v>
      </c>
      <c r="H5735" t="s">
        <v>4207</v>
      </c>
    </row>
    <row r="5736" spans="5:8" x14ac:dyDescent="0.2">
      <c r="G5736" t="str">
        <f>"47911.89"</f>
        <v>47911.89</v>
      </c>
      <c r="H5736" t="s">
        <v>4208</v>
      </c>
    </row>
    <row r="5737" spans="5:8" x14ac:dyDescent="0.2">
      <c r="F5737" t="str">
        <f>"47911.9"</f>
        <v>47911.9</v>
      </c>
      <c r="H5737" t="s">
        <v>4209</v>
      </c>
    </row>
    <row r="5738" spans="5:8" x14ac:dyDescent="0.2">
      <c r="G5738" t="str">
        <f>"47911.91"</f>
        <v>47911.91</v>
      </c>
      <c r="H5738" t="s">
        <v>4210</v>
      </c>
    </row>
    <row r="5739" spans="5:8" x14ac:dyDescent="0.2">
      <c r="G5739" t="str">
        <f>"47911.92"</f>
        <v>47911.92</v>
      </c>
      <c r="H5739" t="s">
        <v>4211</v>
      </c>
    </row>
    <row r="5740" spans="5:8" x14ac:dyDescent="0.2">
      <c r="G5740" t="str">
        <f>"47911.99"</f>
        <v>47911.99</v>
      </c>
      <c r="H5740" t="s">
        <v>4212</v>
      </c>
    </row>
    <row r="5741" spans="5:8" x14ac:dyDescent="0.2">
      <c r="E5741" t="str">
        <f>"47912"</f>
        <v>47912</v>
      </c>
      <c r="H5741" t="s">
        <v>4213</v>
      </c>
    </row>
    <row r="5742" spans="5:8" x14ac:dyDescent="0.2">
      <c r="F5742" t="str">
        <f>"47912.1"</f>
        <v>47912.1</v>
      </c>
      <c r="H5742" t="s">
        <v>4214</v>
      </c>
    </row>
    <row r="5743" spans="5:8" x14ac:dyDescent="0.2">
      <c r="G5743" t="str">
        <f>"47912.11"</f>
        <v>47912.11</v>
      </c>
      <c r="H5743" t="s">
        <v>4215</v>
      </c>
    </row>
    <row r="5744" spans="5:8" x14ac:dyDescent="0.2">
      <c r="G5744" t="str">
        <f>"47912.12"</f>
        <v>47912.12</v>
      </c>
      <c r="H5744" t="s">
        <v>4216</v>
      </c>
    </row>
    <row r="5745" spans="6:8" x14ac:dyDescent="0.2">
      <c r="G5745" t="str">
        <f>"47912.13"</f>
        <v>47912.13</v>
      </c>
      <c r="H5745" t="s">
        <v>4217</v>
      </c>
    </row>
    <row r="5746" spans="6:8" x14ac:dyDescent="0.2">
      <c r="F5746" t="str">
        <f>"47912.2"</f>
        <v>47912.2</v>
      </c>
      <c r="H5746" t="s">
        <v>4218</v>
      </c>
    </row>
    <row r="5747" spans="6:8" x14ac:dyDescent="0.2">
      <c r="G5747" t="str">
        <f>"47912.21"</f>
        <v>47912.21</v>
      </c>
      <c r="H5747" t="s">
        <v>4219</v>
      </c>
    </row>
    <row r="5748" spans="6:8" x14ac:dyDescent="0.2">
      <c r="G5748" t="str">
        <f>"47912.22"</f>
        <v>47912.22</v>
      </c>
      <c r="H5748" t="s">
        <v>4220</v>
      </c>
    </row>
    <row r="5749" spans="6:8" x14ac:dyDescent="0.2">
      <c r="F5749" t="str">
        <f>"47912.3"</f>
        <v>47912.3</v>
      </c>
      <c r="H5749" t="s">
        <v>4221</v>
      </c>
    </row>
    <row r="5750" spans="6:8" x14ac:dyDescent="0.2">
      <c r="G5750" t="str">
        <f>"47912.31"</f>
        <v>47912.31</v>
      </c>
      <c r="H5750" t="s">
        <v>4222</v>
      </c>
    </row>
    <row r="5751" spans="6:8" x14ac:dyDescent="0.2">
      <c r="G5751" t="str">
        <f>"47912.32"</f>
        <v>47912.32</v>
      </c>
      <c r="H5751" t="s">
        <v>4223</v>
      </c>
    </row>
    <row r="5752" spans="6:8" x14ac:dyDescent="0.2">
      <c r="G5752" t="str">
        <f>"47912.33"</f>
        <v>47912.33</v>
      </c>
      <c r="H5752" t="s">
        <v>4224</v>
      </c>
    </row>
    <row r="5753" spans="6:8" x14ac:dyDescent="0.2">
      <c r="F5753" t="str">
        <f>"47912.4"</f>
        <v>47912.4</v>
      </c>
      <c r="H5753" t="s">
        <v>4225</v>
      </c>
    </row>
    <row r="5754" spans="6:8" x14ac:dyDescent="0.2">
      <c r="G5754" t="str">
        <f>"47912.41"</f>
        <v>47912.41</v>
      </c>
      <c r="H5754" t="s">
        <v>4226</v>
      </c>
    </row>
    <row r="5755" spans="6:8" x14ac:dyDescent="0.2">
      <c r="G5755" t="str">
        <f>"47912.42"</f>
        <v>47912.42</v>
      </c>
      <c r="H5755" t="s">
        <v>4227</v>
      </c>
    </row>
    <row r="5756" spans="6:8" x14ac:dyDescent="0.2">
      <c r="G5756" t="str">
        <f>"47912.43"</f>
        <v>47912.43</v>
      </c>
      <c r="H5756" t="s">
        <v>4228</v>
      </c>
    </row>
    <row r="5757" spans="6:8" x14ac:dyDescent="0.2">
      <c r="G5757" t="str">
        <f>"47912.44"</f>
        <v>47912.44</v>
      </c>
      <c r="H5757" t="s">
        <v>4229</v>
      </c>
    </row>
    <row r="5758" spans="6:8" x14ac:dyDescent="0.2">
      <c r="G5758" t="str">
        <f>"47912.49"</f>
        <v>47912.49</v>
      </c>
      <c r="H5758" t="s">
        <v>4230</v>
      </c>
    </row>
    <row r="5759" spans="6:8" x14ac:dyDescent="0.2">
      <c r="F5759" t="str">
        <f>"47912.5"</f>
        <v>47912.5</v>
      </c>
      <c r="H5759" t="s">
        <v>4231</v>
      </c>
    </row>
    <row r="5760" spans="6:8" x14ac:dyDescent="0.2">
      <c r="G5760" t="str">
        <f>"47912.51"</f>
        <v>47912.51</v>
      </c>
      <c r="H5760" t="s">
        <v>4232</v>
      </c>
    </row>
    <row r="5761" spans="6:8" x14ac:dyDescent="0.2">
      <c r="G5761" t="str">
        <f>"47912.52"</f>
        <v>47912.52</v>
      </c>
      <c r="H5761" t="s">
        <v>4233</v>
      </c>
    </row>
    <row r="5762" spans="6:8" x14ac:dyDescent="0.2">
      <c r="G5762" t="str">
        <f>"47912.53"</f>
        <v>47912.53</v>
      </c>
      <c r="H5762" t="s">
        <v>4234</v>
      </c>
    </row>
    <row r="5763" spans="6:8" x14ac:dyDescent="0.2">
      <c r="G5763" t="str">
        <f>"47912.54"</f>
        <v>47912.54</v>
      </c>
      <c r="H5763" t="s">
        <v>4235</v>
      </c>
    </row>
    <row r="5764" spans="6:8" x14ac:dyDescent="0.2">
      <c r="G5764" t="str">
        <f>"47912.55"</f>
        <v>47912.55</v>
      </c>
      <c r="H5764" t="s">
        <v>4236</v>
      </c>
    </row>
    <row r="5765" spans="6:8" x14ac:dyDescent="0.2">
      <c r="G5765" t="str">
        <f>"47912.56"</f>
        <v>47912.56</v>
      </c>
      <c r="H5765" t="s">
        <v>4237</v>
      </c>
    </row>
    <row r="5766" spans="6:8" x14ac:dyDescent="0.2">
      <c r="G5766" t="str">
        <f>"47912.59"</f>
        <v>47912.59</v>
      </c>
      <c r="H5766" t="s">
        <v>4238</v>
      </c>
    </row>
    <row r="5767" spans="6:8" x14ac:dyDescent="0.2">
      <c r="F5767" t="str">
        <f>"47912.6"</f>
        <v>47912.6</v>
      </c>
      <c r="H5767" t="s">
        <v>4239</v>
      </c>
    </row>
    <row r="5768" spans="6:8" x14ac:dyDescent="0.2">
      <c r="G5768" t="str">
        <f>"47912.61"</f>
        <v>47912.61</v>
      </c>
      <c r="H5768" t="s">
        <v>4240</v>
      </c>
    </row>
    <row r="5769" spans="6:8" x14ac:dyDescent="0.2">
      <c r="G5769" t="str">
        <f>"47912.62"</f>
        <v>47912.62</v>
      </c>
      <c r="H5769" t="s">
        <v>4241</v>
      </c>
    </row>
    <row r="5770" spans="6:8" x14ac:dyDescent="0.2">
      <c r="G5770" t="str">
        <f>"47912.63"</f>
        <v>47912.63</v>
      </c>
      <c r="H5770" t="s">
        <v>4242</v>
      </c>
    </row>
    <row r="5771" spans="6:8" x14ac:dyDescent="0.2">
      <c r="G5771" t="str">
        <f>"47912.64"</f>
        <v>47912.64</v>
      </c>
      <c r="H5771" t="s">
        <v>4243</v>
      </c>
    </row>
    <row r="5772" spans="6:8" x14ac:dyDescent="0.2">
      <c r="G5772" t="str">
        <f>"47912.65"</f>
        <v>47912.65</v>
      </c>
      <c r="H5772" t="s">
        <v>4244</v>
      </c>
    </row>
    <row r="5773" spans="6:8" x14ac:dyDescent="0.2">
      <c r="G5773" t="str">
        <f>"47912.69"</f>
        <v>47912.69</v>
      </c>
      <c r="H5773" t="s">
        <v>4245</v>
      </c>
    </row>
    <row r="5774" spans="6:8" x14ac:dyDescent="0.2">
      <c r="F5774" t="str">
        <f>"47912.7"</f>
        <v>47912.7</v>
      </c>
      <c r="H5774" t="s">
        <v>4246</v>
      </c>
    </row>
    <row r="5775" spans="6:8" x14ac:dyDescent="0.2">
      <c r="G5775" t="str">
        <f>"47912.71"</f>
        <v>47912.71</v>
      </c>
      <c r="H5775" t="s">
        <v>4247</v>
      </c>
    </row>
    <row r="5776" spans="6:8" x14ac:dyDescent="0.2">
      <c r="G5776" t="str">
        <f>"47912.72"</f>
        <v>47912.72</v>
      </c>
      <c r="H5776" t="s">
        <v>4248</v>
      </c>
    </row>
    <row r="5777" spans="4:8" x14ac:dyDescent="0.2">
      <c r="G5777" t="str">
        <f>"47912.73"</f>
        <v>47912.73</v>
      </c>
      <c r="H5777" t="s">
        <v>4249</v>
      </c>
    </row>
    <row r="5778" spans="4:8" x14ac:dyDescent="0.2">
      <c r="F5778" t="str">
        <f>"47912.8"</f>
        <v>47912.8</v>
      </c>
      <c r="H5778" t="s">
        <v>4250</v>
      </c>
    </row>
    <row r="5779" spans="4:8" x14ac:dyDescent="0.2">
      <c r="G5779" t="str">
        <f>"47912.81"</f>
        <v>47912.81</v>
      </c>
      <c r="H5779" t="s">
        <v>4251</v>
      </c>
    </row>
    <row r="5780" spans="4:8" x14ac:dyDescent="0.2">
      <c r="G5780" t="str">
        <f>"47912.82"</f>
        <v>47912.82</v>
      </c>
      <c r="H5780" t="s">
        <v>4252</v>
      </c>
    </row>
    <row r="5781" spans="4:8" x14ac:dyDescent="0.2">
      <c r="G5781" t="str">
        <f>"47912.83"</f>
        <v>47912.83</v>
      </c>
      <c r="H5781" t="s">
        <v>4253</v>
      </c>
    </row>
    <row r="5782" spans="4:8" x14ac:dyDescent="0.2">
      <c r="G5782" t="str">
        <f>"47912.89"</f>
        <v>47912.89</v>
      </c>
      <c r="H5782" t="s">
        <v>4254</v>
      </c>
    </row>
    <row r="5783" spans="4:8" x14ac:dyDescent="0.2">
      <c r="F5783" t="str">
        <f>"47912.9"</f>
        <v>47912.9</v>
      </c>
      <c r="H5783" t="s">
        <v>4255</v>
      </c>
    </row>
    <row r="5784" spans="4:8" x14ac:dyDescent="0.2">
      <c r="G5784" t="str">
        <f>"47912.91"</f>
        <v>47912.91</v>
      </c>
      <c r="H5784" t="s">
        <v>4256</v>
      </c>
    </row>
    <row r="5785" spans="4:8" x14ac:dyDescent="0.2">
      <c r="G5785" t="str">
        <f>"47912.92"</f>
        <v>47912.92</v>
      </c>
      <c r="H5785" t="s">
        <v>4257</v>
      </c>
    </row>
    <row r="5786" spans="4:8" x14ac:dyDescent="0.2">
      <c r="G5786" t="str">
        <f>"47912.99"</f>
        <v>47912.99</v>
      </c>
      <c r="H5786" t="s">
        <v>4258</v>
      </c>
    </row>
    <row r="5787" spans="4:8" x14ac:dyDescent="0.2">
      <c r="D5787" t="str">
        <f>"4799"</f>
        <v>4799</v>
      </c>
      <c r="H5787" t="s">
        <v>4259</v>
      </c>
    </row>
    <row r="5788" spans="4:8" x14ac:dyDescent="0.2">
      <c r="E5788" t="str">
        <f>"47991"</f>
        <v>47991</v>
      </c>
      <c r="H5788" t="s">
        <v>4260</v>
      </c>
    </row>
    <row r="5789" spans="4:8" x14ac:dyDescent="0.2">
      <c r="F5789" t="str">
        <f>"47991.1"</f>
        <v>47991.1</v>
      </c>
      <c r="H5789" t="s">
        <v>4261</v>
      </c>
    </row>
    <row r="5790" spans="4:8" x14ac:dyDescent="0.2">
      <c r="G5790" t="str">
        <f>"47991.11"</f>
        <v>47991.11</v>
      </c>
      <c r="H5790" t="s">
        <v>4262</v>
      </c>
    </row>
    <row r="5791" spans="4:8" x14ac:dyDescent="0.2">
      <c r="G5791" t="str">
        <f>"47991.12"</f>
        <v>47991.12</v>
      </c>
      <c r="H5791" t="s">
        <v>4263</v>
      </c>
    </row>
    <row r="5792" spans="4:8" x14ac:dyDescent="0.2">
      <c r="G5792" t="str">
        <f>"47991.13"</f>
        <v>47991.13</v>
      </c>
      <c r="H5792" t="s">
        <v>4264</v>
      </c>
    </row>
    <row r="5793" spans="6:8" x14ac:dyDescent="0.2">
      <c r="F5793" t="str">
        <f>"47991.2"</f>
        <v>47991.2</v>
      </c>
      <c r="H5793" t="s">
        <v>4265</v>
      </c>
    </row>
    <row r="5794" spans="6:8" x14ac:dyDescent="0.2">
      <c r="G5794" t="str">
        <f>"47991.21"</f>
        <v>47991.21</v>
      </c>
      <c r="H5794" t="s">
        <v>4266</v>
      </c>
    </row>
    <row r="5795" spans="6:8" x14ac:dyDescent="0.2">
      <c r="G5795" t="str">
        <f>"47991.22"</f>
        <v>47991.22</v>
      </c>
      <c r="H5795" t="s">
        <v>4267</v>
      </c>
    </row>
    <row r="5796" spans="6:8" x14ac:dyDescent="0.2">
      <c r="F5796" t="str">
        <f>"47991.3"</f>
        <v>47991.3</v>
      </c>
      <c r="H5796" t="s">
        <v>4268</v>
      </c>
    </row>
    <row r="5797" spans="6:8" x14ac:dyDescent="0.2">
      <c r="G5797" t="str">
        <f>"47991.31"</f>
        <v>47991.31</v>
      </c>
      <c r="H5797" t="s">
        <v>4269</v>
      </c>
    </row>
    <row r="5798" spans="6:8" x14ac:dyDescent="0.2">
      <c r="G5798" t="str">
        <f>"47991.32"</f>
        <v>47991.32</v>
      </c>
      <c r="H5798" t="s">
        <v>4270</v>
      </c>
    </row>
    <row r="5799" spans="6:8" x14ac:dyDescent="0.2">
      <c r="G5799" t="str">
        <f>"47991.33"</f>
        <v>47991.33</v>
      </c>
      <c r="H5799" t="s">
        <v>4271</v>
      </c>
    </row>
    <row r="5800" spans="6:8" x14ac:dyDescent="0.2">
      <c r="F5800" t="str">
        <f>"47991.4"</f>
        <v>47991.4</v>
      </c>
      <c r="H5800" t="s">
        <v>4272</v>
      </c>
    </row>
    <row r="5801" spans="6:8" x14ac:dyDescent="0.2">
      <c r="G5801" t="str">
        <f>"47991.41"</f>
        <v>47991.41</v>
      </c>
      <c r="H5801" t="s">
        <v>4273</v>
      </c>
    </row>
    <row r="5802" spans="6:8" x14ac:dyDescent="0.2">
      <c r="G5802" t="str">
        <f>"47991.42"</f>
        <v>47991.42</v>
      </c>
      <c r="H5802" t="s">
        <v>4274</v>
      </c>
    </row>
    <row r="5803" spans="6:8" x14ac:dyDescent="0.2">
      <c r="G5803" t="str">
        <f>"47991.43"</f>
        <v>47991.43</v>
      </c>
      <c r="H5803" t="s">
        <v>4275</v>
      </c>
    </row>
    <row r="5804" spans="6:8" x14ac:dyDescent="0.2">
      <c r="G5804" t="str">
        <f>"47991.44"</f>
        <v>47991.44</v>
      </c>
      <c r="H5804" t="s">
        <v>4276</v>
      </c>
    </row>
    <row r="5805" spans="6:8" x14ac:dyDescent="0.2">
      <c r="G5805" t="str">
        <f>"47991.49"</f>
        <v>47991.49</v>
      </c>
      <c r="H5805" t="s">
        <v>4277</v>
      </c>
    </row>
    <row r="5806" spans="6:8" x14ac:dyDescent="0.2">
      <c r="F5806" t="str">
        <f>"47991.5"</f>
        <v>47991.5</v>
      </c>
      <c r="H5806" t="s">
        <v>4278</v>
      </c>
    </row>
    <row r="5807" spans="6:8" x14ac:dyDescent="0.2">
      <c r="G5807" t="str">
        <f>"47991.51"</f>
        <v>47991.51</v>
      </c>
      <c r="H5807" t="s">
        <v>4279</v>
      </c>
    </row>
    <row r="5808" spans="6:8" x14ac:dyDescent="0.2">
      <c r="G5808" t="str">
        <f>"47991.52"</f>
        <v>47991.52</v>
      </c>
      <c r="H5808" t="s">
        <v>4280</v>
      </c>
    </row>
    <row r="5809" spans="6:8" x14ac:dyDescent="0.2">
      <c r="G5809" t="str">
        <f>"47991.53"</f>
        <v>47991.53</v>
      </c>
      <c r="H5809" t="s">
        <v>4281</v>
      </c>
    </row>
    <row r="5810" spans="6:8" x14ac:dyDescent="0.2">
      <c r="G5810" t="str">
        <f>"47991.54"</f>
        <v>47991.54</v>
      </c>
      <c r="H5810" t="s">
        <v>4282</v>
      </c>
    </row>
    <row r="5811" spans="6:8" x14ac:dyDescent="0.2">
      <c r="G5811" t="str">
        <f>"47991.55"</f>
        <v>47991.55</v>
      </c>
      <c r="H5811" t="s">
        <v>4283</v>
      </c>
    </row>
    <row r="5812" spans="6:8" x14ac:dyDescent="0.2">
      <c r="G5812" t="str">
        <f>"47991.56"</f>
        <v>47991.56</v>
      </c>
      <c r="H5812" t="s">
        <v>4284</v>
      </c>
    </row>
    <row r="5813" spans="6:8" x14ac:dyDescent="0.2">
      <c r="G5813" t="str">
        <f>"47991.59"</f>
        <v>47991.59</v>
      </c>
      <c r="H5813" t="s">
        <v>4285</v>
      </c>
    </row>
    <row r="5814" spans="6:8" x14ac:dyDescent="0.2">
      <c r="F5814" t="str">
        <f>"47991.6"</f>
        <v>47991.6</v>
      </c>
      <c r="H5814" t="s">
        <v>4286</v>
      </c>
    </row>
    <row r="5815" spans="6:8" x14ac:dyDescent="0.2">
      <c r="G5815" t="str">
        <f>"47991.61"</f>
        <v>47991.61</v>
      </c>
      <c r="H5815" t="s">
        <v>4287</v>
      </c>
    </row>
    <row r="5816" spans="6:8" x14ac:dyDescent="0.2">
      <c r="G5816" t="str">
        <f>"47991.62"</f>
        <v>47991.62</v>
      </c>
      <c r="H5816" t="s">
        <v>4288</v>
      </c>
    </row>
    <row r="5817" spans="6:8" x14ac:dyDescent="0.2">
      <c r="G5817" t="str">
        <f>"47991.63"</f>
        <v>47991.63</v>
      </c>
      <c r="H5817" t="s">
        <v>4289</v>
      </c>
    </row>
    <row r="5818" spans="6:8" x14ac:dyDescent="0.2">
      <c r="G5818" t="str">
        <f>"47991.64"</f>
        <v>47991.64</v>
      </c>
      <c r="H5818" t="s">
        <v>4290</v>
      </c>
    </row>
    <row r="5819" spans="6:8" x14ac:dyDescent="0.2">
      <c r="G5819" t="str">
        <f>"47991.65"</f>
        <v>47991.65</v>
      </c>
      <c r="H5819" t="s">
        <v>4291</v>
      </c>
    </row>
    <row r="5820" spans="6:8" x14ac:dyDescent="0.2">
      <c r="G5820" t="str">
        <f>"47991.69"</f>
        <v>47991.69</v>
      </c>
      <c r="H5820" t="s">
        <v>4292</v>
      </c>
    </row>
    <row r="5821" spans="6:8" x14ac:dyDescent="0.2">
      <c r="F5821" t="str">
        <f>"47991.7"</f>
        <v>47991.7</v>
      </c>
      <c r="H5821" t="s">
        <v>4293</v>
      </c>
    </row>
    <row r="5822" spans="6:8" x14ac:dyDescent="0.2">
      <c r="G5822" t="str">
        <f>"47991.71"</f>
        <v>47991.71</v>
      </c>
      <c r="H5822" t="s">
        <v>4294</v>
      </c>
    </row>
    <row r="5823" spans="6:8" x14ac:dyDescent="0.2">
      <c r="G5823" t="str">
        <f>"47991.72"</f>
        <v>47991.72</v>
      </c>
      <c r="H5823" t="s">
        <v>4295</v>
      </c>
    </row>
    <row r="5824" spans="6:8" x14ac:dyDescent="0.2">
      <c r="G5824" t="str">
        <f>"47991.73"</f>
        <v>47991.73</v>
      </c>
      <c r="H5824" t="s">
        <v>4296</v>
      </c>
    </row>
    <row r="5825" spans="5:8" x14ac:dyDescent="0.2">
      <c r="F5825" t="str">
        <f>"47991.8"</f>
        <v>47991.8</v>
      </c>
      <c r="H5825" t="s">
        <v>4297</v>
      </c>
    </row>
    <row r="5826" spans="5:8" x14ac:dyDescent="0.2">
      <c r="G5826" t="str">
        <f>"47991.81"</f>
        <v>47991.81</v>
      </c>
      <c r="H5826" t="s">
        <v>4298</v>
      </c>
    </row>
    <row r="5827" spans="5:8" x14ac:dyDescent="0.2">
      <c r="G5827" t="str">
        <f>"47991.82"</f>
        <v>47991.82</v>
      </c>
      <c r="H5827" t="s">
        <v>4299</v>
      </c>
    </row>
    <row r="5828" spans="5:8" x14ac:dyDescent="0.2">
      <c r="G5828" t="str">
        <f>"47991.83"</f>
        <v>47991.83</v>
      </c>
      <c r="H5828" t="s">
        <v>4300</v>
      </c>
    </row>
    <row r="5829" spans="5:8" x14ac:dyDescent="0.2">
      <c r="G5829" t="str">
        <f>"47991.89"</f>
        <v>47991.89</v>
      </c>
      <c r="H5829" t="s">
        <v>4301</v>
      </c>
    </row>
    <row r="5830" spans="5:8" x14ac:dyDescent="0.2">
      <c r="F5830" t="str">
        <f>"47991.9"</f>
        <v>47991.9</v>
      </c>
      <c r="H5830" t="s">
        <v>4302</v>
      </c>
    </row>
    <row r="5831" spans="5:8" x14ac:dyDescent="0.2">
      <c r="G5831" t="str">
        <f>"47991.91"</f>
        <v>47991.91</v>
      </c>
      <c r="H5831" t="s">
        <v>4303</v>
      </c>
    </row>
    <row r="5832" spans="5:8" x14ac:dyDescent="0.2">
      <c r="G5832" t="str">
        <f>"47991.92"</f>
        <v>47991.92</v>
      </c>
      <c r="H5832" t="s">
        <v>4304</v>
      </c>
    </row>
    <row r="5833" spans="5:8" x14ac:dyDescent="0.2">
      <c r="G5833" t="str">
        <f>"47991.99"</f>
        <v>47991.99</v>
      </c>
      <c r="H5833" t="s">
        <v>4305</v>
      </c>
    </row>
    <row r="5834" spans="5:8" x14ac:dyDescent="0.2">
      <c r="E5834" t="str">
        <f>"47999"</f>
        <v>47999</v>
      </c>
      <c r="H5834" t="s">
        <v>4306</v>
      </c>
    </row>
    <row r="5835" spans="5:8" x14ac:dyDescent="0.2">
      <c r="F5835" t="str">
        <f>"47999.1"</f>
        <v>47999.1</v>
      </c>
      <c r="H5835" t="s">
        <v>4307</v>
      </c>
    </row>
    <row r="5836" spans="5:8" x14ac:dyDescent="0.2">
      <c r="G5836" t="str">
        <f>"47999.11"</f>
        <v>47999.11</v>
      </c>
      <c r="H5836" t="s">
        <v>4308</v>
      </c>
    </row>
    <row r="5837" spans="5:8" x14ac:dyDescent="0.2">
      <c r="G5837" t="str">
        <f>"47999.12"</f>
        <v>47999.12</v>
      </c>
      <c r="H5837" t="s">
        <v>4309</v>
      </c>
    </row>
    <row r="5838" spans="5:8" x14ac:dyDescent="0.2">
      <c r="G5838" t="str">
        <f>"47999.13"</f>
        <v>47999.13</v>
      </c>
      <c r="H5838" t="s">
        <v>4310</v>
      </c>
    </row>
    <row r="5839" spans="5:8" x14ac:dyDescent="0.2">
      <c r="F5839" t="str">
        <f>"47999.2"</f>
        <v>47999.2</v>
      </c>
      <c r="H5839" t="s">
        <v>4311</v>
      </c>
    </row>
    <row r="5840" spans="5:8" x14ac:dyDescent="0.2">
      <c r="G5840" t="str">
        <f>"47999.21"</f>
        <v>47999.21</v>
      </c>
      <c r="H5840" t="s">
        <v>4312</v>
      </c>
    </row>
    <row r="5841" spans="6:8" x14ac:dyDescent="0.2">
      <c r="G5841" t="str">
        <f>"47999.22"</f>
        <v>47999.22</v>
      </c>
      <c r="H5841" t="s">
        <v>4313</v>
      </c>
    </row>
    <row r="5842" spans="6:8" x14ac:dyDescent="0.2">
      <c r="F5842" t="str">
        <f>"47999.3"</f>
        <v>47999.3</v>
      </c>
      <c r="H5842" t="s">
        <v>4314</v>
      </c>
    </row>
    <row r="5843" spans="6:8" x14ac:dyDescent="0.2">
      <c r="G5843" t="str">
        <f>"47999.31"</f>
        <v>47999.31</v>
      </c>
      <c r="H5843" t="s">
        <v>4315</v>
      </c>
    </row>
    <row r="5844" spans="6:8" x14ac:dyDescent="0.2">
      <c r="G5844" t="str">
        <f>"47999.32"</f>
        <v>47999.32</v>
      </c>
      <c r="H5844" t="s">
        <v>4316</v>
      </c>
    </row>
    <row r="5845" spans="6:8" x14ac:dyDescent="0.2">
      <c r="G5845" t="str">
        <f>"47999.33"</f>
        <v>47999.33</v>
      </c>
      <c r="H5845" t="s">
        <v>4317</v>
      </c>
    </row>
    <row r="5846" spans="6:8" x14ac:dyDescent="0.2">
      <c r="F5846" t="str">
        <f>"47999.4"</f>
        <v>47999.4</v>
      </c>
      <c r="H5846" t="s">
        <v>4318</v>
      </c>
    </row>
    <row r="5847" spans="6:8" x14ac:dyDescent="0.2">
      <c r="G5847" t="str">
        <f>"47999.41"</f>
        <v>47999.41</v>
      </c>
      <c r="H5847" t="s">
        <v>4319</v>
      </c>
    </row>
    <row r="5848" spans="6:8" x14ac:dyDescent="0.2">
      <c r="G5848" t="str">
        <f>"47999.42"</f>
        <v>47999.42</v>
      </c>
      <c r="H5848" t="s">
        <v>4320</v>
      </c>
    </row>
    <row r="5849" spans="6:8" x14ac:dyDescent="0.2">
      <c r="G5849" t="str">
        <f>"47999.43"</f>
        <v>47999.43</v>
      </c>
      <c r="H5849" t="s">
        <v>4321</v>
      </c>
    </row>
    <row r="5850" spans="6:8" x14ac:dyDescent="0.2">
      <c r="G5850" t="str">
        <f>"47999.44"</f>
        <v>47999.44</v>
      </c>
      <c r="H5850" t="s">
        <v>4322</v>
      </c>
    </row>
    <row r="5851" spans="6:8" x14ac:dyDescent="0.2">
      <c r="G5851" t="str">
        <f>"47999.49"</f>
        <v>47999.49</v>
      </c>
      <c r="H5851" t="s">
        <v>4323</v>
      </c>
    </row>
    <row r="5852" spans="6:8" x14ac:dyDescent="0.2">
      <c r="F5852" t="str">
        <f>"47999.5"</f>
        <v>47999.5</v>
      </c>
      <c r="H5852" t="s">
        <v>4324</v>
      </c>
    </row>
    <row r="5853" spans="6:8" x14ac:dyDescent="0.2">
      <c r="G5853" t="str">
        <f>"47999.51"</f>
        <v>47999.51</v>
      </c>
      <c r="H5853" t="s">
        <v>4325</v>
      </c>
    </row>
    <row r="5854" spans="6:8" x14ac:dyDescent="0.2">
      <c r="G5854" t="str">
        <f>"47999.52"</f>
        <v>47999.52</v>
      </c>
      <c r="H5854" t="s">
        <v>4326</v>
      </c>
    </row>
    <row r="5855" spans="6:8" x14ac:dyDescent="0.2">
      <c r="G5855" t="str">
        <f>"47999.53"</f>
        <v>47999.53</v>
      </c>
      <c r="H5855" t="s">
        <v>4327</v>
      </c>
    </row>
    <row r="5856" spans="6:8" x14ac:dyDescent="0.2">
      <c r="G5856" t="str">
        <f>"47999.54"</f>
        <v>47999.54</v>
      </c>
      <c r="H5856" t="s">
        <v>4328</v>
      </c>
    </row>
    <row r="5857" spans="6:8" x14ac:dyDescent="0.2">
      <c r="G5857" t="str">
        <f>"47999.55"</f>
        <v>47999.55</v>
      </c>
      <c r="H5857" t="s">
        <v>4329</v>
      </c>
    </row>
    <row r="5858" spans="6:8" x14ac:dyDescent="0.2">
      <c r="G5858" t="str">
        <f>"47999.56"</f>
        <v>47999.56</v>
      </c>
      <c r="H5858" t="s">
        <v>4330</v>
      </c>
    </row>
    <row r="5859" spans="6:8" x14ac:dyDescent="0.2">
      <c r="G5859" t="str">
        <f>"47999.59"</f>
        <v>47999.59</v>
      </c>
      <c r="H5859" t="s">
        <v>4331</v>
      </c>
    </row>
    <row r="5860" spans="6:8" x14ac:dyDescent="0.2">
      <c r="F5860" t="str">
        <f>"47999.6"</f>
        <v>47999.6</v>
      </c>
      <c r="H5860" t="s">
        <v>4332</v>
      </c>
    </row>
    <row r="5861" spans="6:8" x14ac:dyDescent="0.2">
      <c r="G5861" t="str">
        <f>"47999.61"</f>
        <v>47999.61</v>
      </c>
      <c r="H5861" t="s">
        <v>4333</v>
      </c>
    </row>
    <row r="5862" spans="6:8" x14ac:dyDescent="0.2">
      <c r="G5862" t="str">
        <f>"47999.62"</f>
        <v>47999.62</v>
      </c>
      <c r="H5862" t="s">
        <v>4334</v>
      </c>
    </row>
    <row r="5863" spans="6:8" x14ac:dyDescent="0.2">
      <c r="G5863" t="str">
        <f>"47999.63"</f>
        <v>47999.63</v>
      </c>
      <c r="H5863" t="s">
        <v>4335</v>
      </c>
    </row>
    <row r="5864" spans="6:8" x14ac:dyDescent="0.2">
      <c r="G5864" t="str">
        <f>"47999.64"</f>
        <v>47999.64</v>
      </c>
      <c r="H5864" t="s">
        <v>4336</v>
      </c>
    </row>
    <row r="5865" spans="6:8" x14ac:dyDescent="0.2">
      <c r="G5865" t="str">
        <f>"47999.65"</f>
        <v>47999.65</v>
      </c>
      <c r="H5865" t="s">
        <v>4337</v>
      </c>
    </row>
    <row r="5866" spans="6:8" x14ac:dyDescent="0.2">
      <c r="G5866" t="str">
        <f>"47999.69"</f>
        <v>47999.69</v>
      </c>
      <c r="H5866" t="s">
        <v>4338</v>
      </c>
    </row>
    <row r="5867" spans="6:8" x14ac:dyDescent="0.2">
      <c r="F5867" t="str">
        <f>"47999.7"</f>
        <v>47999.7</v>
      </c>
      <c r="H5867" t="s">
        <v>4339</v>
      </c>
    </row>
    <row r="5868" spans="6:8" x14ac:dyDescent="0.2">
      <c r="G5868" t="str">
        <f>"47999.71"</f>
        <v>47999.71</v>
      </c>
      <c r="H5868" t="s">
        <v>4340</v>
      </c>
    </row>
    <row r="5869" spans="6:8" x14ac:dyDescent="0.2">
      <c r="G5869" t="str">
        <f>"47999.72"</f>
        <v>47999.72</v>
      </c>
      <c r="H5869" t="s">
        <v>4341</v>
      </c>
    </row>
    <row r="5870" spans="6:8" x14ac:dyDescent="0.2">
      <c r="G5870" t="str">
        <f>"47999.73"</f>
        <v>47999.73</v>
      </c>
      <c r="H5870" t="s">
        <v>4342</v>
      </c>
    </row>
    <row r="5871" spans="6:8" x14ac:dyDescent="0.2">
      <c r="F5871" t="str">
        <f>"47999.8"</f>
        <v>47999.8</v>
      </c>
      <c r="H5871" t="s">
        <v>4343</v>
      </c>
    </row>
    <row r="5872" spans="6:8" x14ac:dyDescent="0.2">
      <c r="G5872" t="str">
        <f>"47999.81"</f>
        <v>47999.81</v>
      </c>
      <c r="H5872" t="s">
        <v>4344</v>
      </c>
    </row>
    <row r="5873" spans="1:8" x14ac:dyDescent="0.2">
      <c r="G5873" t="str">
        <f>"47999.82"</f>
        <v>47999.82</v>
      </c>
      <c r="H5873" t="s">
        <v>4345</v>
      </c>
    </row>
    <row r="5874" spans="1:8" x14ac:dyDescent="0.2">
      <c r="G5874" t="str">
        <f>"47999.83"</f>
        <v>47999.83</v>
      </c>
      <c r="H5874" t="s">
        <v>4346</v>
      </c>
    </row>
    <row r="5875" spans="1:8" x14ac:dyDescent="0.2">
      <c r="G5875" t="str">
        <f>"47999.89"</f>
        <v>47999.89</v>
      </c>
      <c r="H5875" t="s">
        <v>4347</v>
      </c>
    </row>
    <row r="5876" spans="1:8" x14ac:dyDescent="0.2">
      <c r="F5876" t="str">
        <f>"47999.9"</f>
        <v>47999.9</v>
      </c>
      <c r="H5876" t="s">
        <v>4348</v>
      </c>
    </row>
    <row r="5877" spans="1:8" x14ac:dyDescent="0.2">
      <c r="G5877" t="str">
        <f>"47999.91"</f>
        <v>47999.91</v>
      </c>
      <c r="H5877" t="s">
        <v>4349</v>
      </c>
    </row>
    <row r="5878" spans="1:8" x14ac:dyDescent="0.2">
      <c r="G5878" t="str">
        <f>"47999.92"</f>
        <v>47999.92</v>
      </c>
      <c r="H5878" t="s">
        <v>4350</v>
      </c>
    </row>
    <row r="5879" spans="1:8" x14ac:dyDescent="0.2">
      <c r="G5879" t="str">
        <f>"47999.99"</f>
        <v>47999.99</v>
      </c>
      <c r="H5879" t="s">
        <v>4351</v>
      </c>
    </row>
    <row r="5880" spans="1:8" x14ac:dyDescent="0.2">
      <c r="A5880" t="s">
        <v>4352</v>
      </c>
      <c r="H5880" t="s">
        <v>4353</v>
      </c>
    </row>
    <row r="5881" spans="1:8" x14ac:dyDescent="0.2">
      <c r="B5881" t="str">
        <f>"49"</f>
        <v>49</v>
      </c>
      <c r="H5881" t="s">
        <v>4354</v>
      </c>
    </row>
    <row r="5882" spans="1:8" x14ac:dyDescent="0.2">
      <c r="C5882" t="str">
        <f>"491"</f>
        <v>491</v>
      </c>
      <c r="H5882" t="s">
        <v>4355</v>
      </c>
    </row>
    <row r="5883" spans="1:8" x14ac:dyDescent="0.2">
      <c r="D5883" t="str">
        <f>"4911"</f>
        <v>4911</v>
      </c>
      <c r="H5883" t="s">
        <v>4356</v>
      </c>
    </row>
    <row r="5884" spans="1:8" x14ac:dyDescent="0.2">
      <c r="E5884" t="str">
        <f>"49110"</f>
        <v>49110</v>
      </c>
      <c r="H5884" t="s">
        <v>4356</v>
      </c>
    </row>
    <row r="5885" spans="1:8" x14ac:dyDescent="0.2">
      <c r="F5885" t="str">
        <f>"49110.0"</f>
        <v>49110.0</v>
      </c>
      <c r="H5885" t="s">
        <v>4356</v>
      </c>
    </row>
    <row r="5886" spans="1:8" x14ac:dyDescent="0.2">
      <c r="G5886" t="str">
        <f>"49110.01"</f>
        <v>49110.01</v>
      </c>
      <c r="H5886" t="s">
        <v>4357</v>
      </c>
    </row>
    <row r="5887" spans="1:8" x14ac:dyDescent="0.2">
      <c r="G5887" t="str">
        <f>"49110.09"</f>
        <v>49110.09</v>
      </c>
      <c r="H5887" t="s">
        <v>4358</v>
      </c>
    </row>
    <row r="5888" spans="1:8" x14ac:dyDescent="0.2">
      <c r="D5888" t="str">
        <f>"4912"</f>
        <v>4912</v>
      </c>
      <c r="H5888" t="s">
        <v>4359</v>
      </c>
    </row>
    <row r="5889" spans="3:8" x14ac:dyDescent="0.2">
      <c r="E5889" t="str">
        <f>"49120"</f>
        <v>49120</v>
      </c>
      <c r="H5889" t="s">
        <v>4359</v>
      </c>
    </row>
    <row r="5890" spans="3:8" x14ac:dyDescent="0.2">
      <c r="F5890" t="str">
        <f>"49120.0"</f>
        <v>49120.0</v>
      </c>
      <c r="H5890" t="s">
        <v>4359</v>
      </c>
    </row>
    <row r="5891" spans="3:8" x14ac:dyDescent="0.2">
      <c r="G5891" t="str">
        <f>"49120.01"</f>
        <v>49120.01</v>
      </c>
      <c r="H5891" t="s">
        <v>4360</v>
      </c>
    </row>
    <row r="5892" spans="3:8" x14ac:dyDescent="0.2">
      <c r="G5892" t="str">
        <f>"49120.02"</f>
        <v>49120.02</v>
      </c>
      <c r="H5892" t="s">
        <v>4361</v>
      </c>
    </row>
    <row r="5893" spans="3:8" x14ac:dyDescent="0.2">
      <c r="G5893" t="str">
        <f>"49120.03"</f>
        <v>49120.03</v>
      </c>
      <c r="H5893" t="s">
        <v>4362</v>
      </c>
    </row>
    <row r="5894" spans="3:8" x14ac:dyDescent="0.2">
      <c r="G5894" t="str">
        <f>"49120.04"</f>
        <v>49120.04</v>
      </c>
      <c r="H5894" t="s">
        <v>4363</v>
      </c>
    </row>
    <row r="5895" spans="3:8" x14ac:dyDescent="0.2">
      <c r="G5895" t="str">
        <f>"49120.05"</f>
        <v>49120.05</v>
      </c>
      <c r="H5895" t="s">
        <v>4364</v>
      </c>
    </row>
    <row r="5896" spans="3:8" x14ac:dyDescent="0.2">
      <c r="G5896" t="str">
        <f>"49120.06"</f>
        <v>49120.06</v>
      </c>
      <c r="H5896" t="s">
        <v>4365</v>
      </c>
    </row>
    <row r="5897" spans="3:8" x14ac:dyDescent="0.2">
      <c r="G5897" t="str">
        <f>"49120.07"</f>
        <v>49120.07</v>
      </c>
      <c r="H5897" t="s">
        <v>4366</v>
      </c>
    </row>
    <row r="5898" spans="3:8" x14ac:dyDescent="0.2">
      <c r="G5898" t="str">
        <f>"49120.09"</f>
        <v>49120.09</v>
      </c>
      <c r="H5898" t="s">
        <v>4367</v>
      </c>
    </row>
    <row r="5899" spans="3:8" x14ac:dyDescent="0.2">
      <c r="C5899" t="str">
        <f>"492"</f>
        <v>492</v>
      </c>
      <c r="H5899" t="s">
        <v>4368</v>
      </c>
    </row>
    <row r="5900" spans="3:8" x14ac:dyDescent="0.2">
      <c r="D5900" t="str">
        <f>"4920"</f>
        <v>4920</v>
      </c>
      <c r="H5900" t="s">
        <v>4368</v>
      </c>
    </row>
    <row r="5901" spans="3:8" x14ac:dyDescent="0.2">
      <c r="E5901" t="str">
        <f>"49201"</f>
        <v>49201</v>
      </c>
      <c r="H5901" t="s">
        <v>4369</v>
      </c>
    </row>
    <row r="5902" spans="3:8" x14ac:dyDescent="0.2">
      <c r="F5902" t="str">
        <f>"49201.0"</f>
        <v>49201.0</v>
      </c>
      <c r="H5902" t="s">
        <v>4370</v>
      </c>
    </row>
    <row r="5903" spans="3:8" x14ac:dyDescent="0.2">
      <c r="G5903" t="str">
        <f>"49201.00"</f>
        <v>49201.00</v>
      </c>
      <c r="H5903" t="s">
        <v>4370</v>
      </c>
    </row>
    <row r="5904" spans="3:8" x14ac:dyDescent="0.2">
      <c r="E5904" t="str">
        <f>"49202"</f>
        <v>49202</v>
      </c>
      <c r="H5904" t="s">
        <v>4371</v>
      </c>
    </row>
    <row r="5905" spans="3:8" x14ac:dyDescent="0.2">
      <c r="F5905" t="str">
        <f>"49202.0"</f>
        <v>49202.0</v>
      </c>
      <c r="H5905" t="s">
        <v>4372</v>
      </c>
    </row>
    <row r="5906" spans="3:8" x14ac:dyDescent="0.2">
      <c r="G5906" t="str">
        <f>"49202.00"</f>
        <v>49202.00</v>
      </c>
      <c r="H5906" t="s">
        <v>4372</v>
      </c>
    </row>
    <row r="5907" spans="3:8" x14ac:dyDescent="0.2">
      <c r="E5907" t="str">
        <f>"49203"</f>
        <v>49203</v>
      </c>
      <c r="H5907" t="s">
        <v>4373</v>
      </c>
    </row>
    <row r="5908" spans="3:8" x14ac:dyDescent="0.2">
      <c r="F5908" t="str">
        <f>"49203.0"</f>
        <v>49203.0</v>
      </c>
      <c r="H5908" t="s">
        <v>4373</v>
      </c>
    </row>
    <row r="5909" spans="3:8" x14ac:dyDescent="0.2">
      <c r="G5909" t="str">
        <f>"49203.00"</f>
        <v>49203.00</v>
      </c>
      <c r="H5909" t="s">
        <v>4373</v>
      </c>
    </row>
    <row r="5910" spans="3:8" x14ac:dyDescent="0.2">
      <c r="E5910" t="str">
        <f>"49204"</f>
        <v>49204</v>
      </c>
      <c r="H5910" t="s">
        <v>4374</v>
      </c>
    </row>
    <row r="5911" spans="3:8" x14ac:dyDescent="0.2">
      <c r="F5911" t="str">
        <f>"49204.0"</f>
        <v>49204.0</v>
      </c>
      <c r="H5911" t="s">
        <v>4374</v>
      </c>
    </row>
    <row r="5912" spans="3:8" x14ac:dyDescent="0.2">
      <c r="G5912" t="str">
        <f>"49204.00"</f>
        <v>49204.00</v>
      </c>
      <c r="H5912" t="s">
        <v>4374</v>
      </c>
    </row>
    <row r="5913" spans="3:8" x14ac:dyDescent="0.2">
      <c r="E5913" t="str">
        <f>"49209"</f>
        <v>49209</v>
      </c>
      <c r="H5913" t="s">
        <v>4375</v>
      </c>
    </row>
    <row r="5914" spans="3:8" x14ac:dyDescent="0.2">
      <c r="F5914" t="str">
        <f>"49209.0"</f>
        <v>49209.0</v>
      </c>
      <c r="H5914" t="s">
        <v>4375</v>
      </c>
    </row>
    <row r="5915" spans="3:8" x14ac:dyDescent="0.2">
      <c r="G5915" t="str">
        <f>"49209.01"</f>
        <v>49209.01</v>
      </c>
      <c r="H5915" t="s">
        <v>4376</v>
      </c>
    </row>
    <row r="5916" spans="3:8" x14ac:dyDescent="0.2">
      <c r="G5916" t="str">
        <f>"49209.02"</f>
        <v>49209.02</v>
      </c>
      <c r="H5916" t="s">
        <v>4377</v>
      </c>
    </row>
    <row r="5917" spans="3:8" x14ac:dyDescent="0.2">
      <c r="C5917" t="str">
        <f>"493"</f>
        <v>493</v>
      </c>
      <c r="H5917" t="s">
        <v>4378</v>
      </c>
    </row>
    <row r="5918" spans="3:8" x14ac:dyDescent="0.2">
      <c r="D5918" t="str">
        <f>"4931"</f>
        <v>4931</v>
      </c>
      <c r="H5918" t="s">
        <v>4379</v>
      </c>
    </row>
    <row r="5919" spans="3:8" x14ac:dyDescent="0.2">
      <c r="E5919" t="str">
        <f>"49310"</f>
        <v>49310</v>
      </c>
      <c r="H5919" t="s">
        <v>4379</v>
      </c>
    </row>
    <row r="5920" spans="3:8" x14ac:dyDescent="0.2">
      <c r="F5920" t="str">
        <f>"49310.1"</f>
        <v>49310.1</v>
      </c>
      <c r="H5920" t="s">
        <v>4380</v>
      </c>
    </row>
    <row r="5921" spans="4:8" x14ac:dyDescent="0.2">
      <c r="G5921" t="str">
        <f>"49310.10"</f>
        <v>49310.10</v>
      </c>
      <c r="H5921" t="s">
        <v>4380</v>
      </c>
    </row>
    <row r="5922" spans="4:8" x14ac:dyDescent="0.2">
      <c r="F5922" t="str">
        <f>"49310.2"</f>
        <v>49310.2</v>
      </c>
      <c r="H5922" t="s">
        <v>4381</v>
      </c>
    </row>
    <row r="5923" spans="4:8" x14ac:dyDescent="0.2">
      <c r="G5923" t="str">
        <f>"49310.20"</f>
        <v>49310.20</v>
      </c>
      <c r="H5923" t="s">
        <v>4381</v>
      </c>
    </row>
    <row r="5924" spans="4:8" x14ac:dyDescent="0.2">
      <c r="D5924" t="str">
        <f>"4932"</f>
        <v>4932</v>
      </c>
      <c r="H5924" t="s">
        <v>4382</v>
      </c>
    </row>
    <row r="5925" spans="4:8" x14ac:dyDescent="0.2">
      <c r="E5925" t="str">
        <f>"49321"</f>
        <v>49321</v>
      </c>
      <c r="H5925" t="s">
        <v>4383</v>
      </c>
    </row>
    <row r="5926" spans="4:8" x14ac:dyDescent="0.2">
      <c r="F5926" t="str">
        <f>"49321.0"</f>
        <v>49321.0</v>
      </c>
      <c r="H5926" t="s">
        <v>4383</v>
      </c>
    </row>
    <row r="5927" spans="4:8" x14ac:dyDescent="0.2">
      <c r="G5927" t="str">
        <f>"49321.01"</f>
        <v>49321.01</v>
      </c>
      <c r="H5927" t="s">
        <v>4383</v>
      </c>
    </row>
    <row r="5928" spans="4:8" x14ac:dyDescent="0.2">
      <c r="G5928" t="str">
        <f>"49321.02"</f>
        <v>49321.02</v>
      </c>
      <c r="H5928" t="s">
        <v>4384</v>
      </c>
    </row>
    <row r="5929" spans="4:8" x14ac:dyDescent="0.2">
      <c r="E5929" t="str">
        <f>"49322"</f>
        <v>49322</v>
      </c>
      <c r="H5929" t="s">
        <v>4385</v>
      </c>
    </row>
    <row r="5930" spans="4:8" x14ac:dyDescent="0.2">
      <c r="F5930" t="str">
        <f>"49322.0"</f>
        <v>49322.0</v>
      </c>
      <c r="H5930" t="s">
        <v>4386</v>
      </c>
    </row>
    <row r="5931" spans="4:8" x14ac:dyDescent="0.2">
      <c r="G5931" t="str">
        <f>"49322.01"</f>
        <v>49322.01</v>
      </c>
      <c r="H5931" t="s">
        <v>4385</v>
      </c>
    </row>
    <row r="5932" spans="4:8" x14ac:dyDescent="0.2">
      <c r="G5932" t="str">
        <f>"49322.02"</f>
        <v>49322.02</v>
      </c>
      <c r="H5932" t="s">
        <v>4387</v>
      </c>
    </row>
    <row r="5933" spans="4:8" x14ac:dyDescent="0.2">
      <c r="E5933" t="str">
        <f>"49329"</f>
        <v>49329</v>
      </c>
      <c r="H5933" t="s">
        <v>4388</v>
      </c>
    </row>
    <row r="5934" spans="4:8" x14ac:dyDescent="0.2">
      <c r="F5934" t="str">
        <f>"49329.1"</f>
        <v>49329.1</v>
      </c>
      <c r="H5934" t="s">
        <v>4389</v>
      </c>
    </row>
    <row r="5935" spans="4:8" x14ac:dyDescent="0.2">
      <c r="G5935" t="str">
        <f>"49329.10"</f>
        <v>49329.10</v>
      </c>
      <c r="H5935" t="s">
        <v>4389</v>
      </c>
    </row>
    <row r="5936" spans="4:8" x14ac:dyDescent="0.2">
      <c r="F5936" t="str">
        <f>"49329.2"</f>
        <v>49329.2</v>
      </c>
      <c r="H5936" t="s">
        <v>4390</v>
      </c>
    </row>
    <row r="5937" spans="4:8" x14ac:dyDescent="0.2">
      <c r="G5937" t="str">
        <f>"49329.20"</f>
        <v>49329.20</v>
      </c>
      <c r="H5937" t="s">
        <v>4391</v>
      </c>
    </row>
    <row r="5938" spans="4:8" x14ac:dyDescent="0.2">
      <c r="F5938" t="str">
        <f>"49329.9"</f>
        <v>49329.9</v>
      </c>
      <c r="H5938" t="s">
        <v>4388</v>
      </c>
    </row>
    <row r="5939" spans="4:8" x14ac:dyDescent="0.2">
      <c r="G5939" t="str">
        <f>"49329.91"</f>
        <v>49329.91</v>
      </c>
      <c r="H5939" t="s">
        <v>4392</v>
      </c>
    </row>
    <row r="5940" spans="4:8" x14ac:dyDescent="0.2">
      <c r="G5940" t="str">
        <f>"49329.92"</f>
        <v>49329.92</v>
      </c>
      <c r="H5940" t="s">
        <v>4393</v>
      </c>
    </row>
    <row r="5941" spans="4:8" x14ac:dyDescent="0.2">
      <c r="G5941" t="str">
        <f>"49329.93"</f>
        <v>49329.93</v>
      </c>
      <c r="H5941" t="s">
        <v>4394</v>
      </c>
    </row>
    <row r="5942" spans="4:8" x14ac:dyDescent="0.2">
      <c r="G5942" t="str">
        <f>"49329.94"</f>
        <v>49329.94</v>
      </c>
      <c r="H5942" t="s">
        <v>4395</v>
      </c>
    </row>
    <row r="5943" spans="4:8" x14ac:dyDescent="0.2">
      <c r="G5943" t="str">
        <f>"49329.99"</f>
        <v>49329.99</v>
      </c>
      <c r="H5943" t="s">
        <v>4396</v>
      </c>
    </row>
    <row r="5944" spans="4:8" x14ac:dyDescent="0.2">
      <c r="D5944" t="str">
        <f>"4933"</f>
        <v>4933</v>
      </c>
      <c r="H5944" t="s">
        <v>4397</v>
      </c>
    </row>
    <row r="5945" spans="4:8" x14ac:dyDescent="0.2">
      <c r="E5945" t="str">
        <f>"49331"</f>
        <v>49331</v>
      </c>
      <c r="H5945" t="s">
        <v>4398</v>
      </c>
    </row>
    <row r="5946" spans="4:8" x14ac:dyDescent="0.2">
      <c r="F5946" t="str">
        <f>"49331.0"</f>
        <v>49331.0</v>
      </c>
      <c r="H5946" t="s">
        <v>4398</v>
      </c>
    </row>
    <row r="5947" spans="4:8" x14ac:dyDescent="0.2">
      <c r="G5947" t="str">
        <f>"49331.01"</f>
        <v>49331.01</v>
      </c>
      <c r="H5947" t="s">
        <v>4398</v>
      </c>
    </row>
    <row r="5948" spans="4:8" x14ac:dyDescent="0.2">
      <c r="G5948" t="str">
        <f>"49331.02"</f>
        <v>49331.02</v>
      </c>
      <c r="H5948" t="s">
        <v>4399</v>
      </c>
    </row>
    <row r="5949" spans="4:8" x14ac:dyDescent="0.2">
      <c r="E5949" t="str">
        <f>"49332"</f>
        <v>49332</v>
      </c>
      <c r="H5949" t="s">
        <v>4400</v>
      </c>
    </row>
    <row r="5950" spans="4:8" x14ac:dyDescent="0.2">
      <c r="F5950" t="str">
        <f>"49332.0"</f>
        <v>49332.0</v>
      </c>
      <c r="H5950" t="s">
        <v>4400</v>
      </c>
    </row>
    <row r="5951" spans="4:8" x14ac:dyDescent="0.2">
      <c r="G5951" t="str">
        <f>"49332.01"</f>
        <v>49332.01</v>
      </c>
      <c r="H5951" t="s">
        <v>4400</v>
      </c>
    </row>
    <row r="5952" spans="4:8" x14ac:dyDescent="0.2">
      <c r="G5952" t="str">
        <f>"49332.02"</f>
        <v>49332.02</v>
      </c>
      <c r="H5952" t="s">
        <v>4401</v>
      </c>
    </row>
    <row r="5953" spans="5:8" x14ac:dyDescent="0.2">
      <c r="E5953" t="str">
        <f>"49333"</f>
        <v>49333</v>
      </c>
      <c r="H5953" t="s">
        <v>4402</v>
      </c>
    </row>
    <row r="5954" spans="5:8" x14ac:dyDescent="0.2">
      <c r="F5954" t="str">
        <f>"49333.0"</f>
        <v>49333.0</v>
      </c>
      <c r="H5954" t="s">
        <v>4402</v>
      </c>
    </row>
    <row r="5955" spans="5:8" x14ac:dyDescent="0.2">
      <c r="G5955" t="str">
        <f>"49333.01"</f>
        <v>49333.01</v>
      </c>
      <c r="H5955" t="s">
        <v>4402</v>
      </c>
    </row>
    <row r="5956" spans="5:8" x14ac:dyDescent="0.2">
      <c r="G5956" t="str">
        <f>"49333.02"</f>
        <v>49333.02</v>
      </c>
      <c r="H5956" t="s">
        <v>4403</v>
      </c>
    </row>
    <row r="5957" spans="5:8" x14ac:dyDescent="0.2">
      <c r="E5957" t="str">
        <f>"49334"</f>
        <v>49334</v>
      </c>
      <c r="H5957" t="s">
        <v>4404</v>
      </c>
    </row>
    <row r="5958" spans="5:8" x14ac:dyDescent="0.2">
      <c r="F5958" t="str">
        <f>"49334.0"</f>
        <v>49334.0</v>
      </c>
      <c r="H5958" t="s">
        <v>4404</v>
      </c>
    </row>
    <row r="5959" spans="5:8" x14ac:dyDescent="0.2">
      <c r="G5959" t="str">
        <f>"49334.01"</f>
        <v>49334.01</v>
      </c>
      <c r="H5959" t="s">
        <v>4404</v>
      </c>
    </row>
    <row r="5960" spans="5:8" x14ac:dyDescent="0.2">
      <c r="G5960" t="str">
        <f>"49334.02"</f>
        <v>49334.02</v>
      </c>
      <c r="H5960" t="s">
        <v>4405</v>
      </c>
    </row>
    <row r="5961" spans="5:8" x14ac:dyDescent="0.2">
      <c r="E5961" t="str">
        <f>"49339"</f>
        <v>49339</v>
      </c>
      <c r="H5961" t="s">
        <v>4406</v>
      </c>
    </row>
    <row r="5962" spans="5:8" x14ac:dyDescent="0.2">
      <c r="F5962" t="str">
        <f>"49339.1"</f>
        <v>49339.1</v>
      </c>
      <c r="H5962" t="s">
        <v>4406</v>
      </c>
    </row>
    <row r="5963" spans="5:8" x14ac:dyDescent="0.2">
      <c r="G5963" t="str">
        <f>"49339.11"</f>
        <v>49339.11</v>
      </c>
      <c r="H5963" t="s">
        <v>4407</v>
      </c>
    </row>
    <row r="5964" spans="5:8" x14ac:dyDescent="0.2">
      <c r="G5964" t="str">
        <f>"49339.12"</f>
        <v>49339.12</v>
      </c>
      <c r="H5964" t="s">
        <v>4408</v>
      </c>
    </row>
    <row r="5965" spans="5:8" x14ac:dyDescent="0.2">
      <c r="G5965" t="str">
        <f>"49339.13"</f>
        <v>49339.13</v>
      </c>
      <c r="H5965" t="s">
        <v>4409</v>
      </c>
    </row>
    <row r="5966" spans="5:8" x14ac:dyDescent="0.2">
      <c r="G5966" t="str">
        <f>"49339.14"</f>
        <v>49339.14</v>
      </c>
      <c r="H5966" t="s">
        <v>4410</v>
      </c>
    </row>
    <row r="5967" spans="5:8" x14ac:dyDescent="0.2">
      <c r="G5967" t="str">
        <f>"49339.19"</f>
        <v>49339.19</v>
      </c>
      <c r="H5967" t="s">
        <v>4411</v>
      </c>
    </row>
    <row r="5968" spans="5:8" x14ac:dyDescent="0.2">
      <c r="F5968" t="str">
        <f>"49339.2"</f>
        <v>49339.2</v>
      </c>
      <c r="H5968" t="s">
        <v>4412</v>
      </c>
    </row>
    <row r="5969" spans="2:8" x14ac:dyDescent="0.2">
      <c r="G5969" t="str">
        <f>"49339.20"</f>
        <v>49339.20</v>
      </c>
      <c r="H5969" t="s">
        <v>4412</v>
      </c>
    </row>
    <row r="5970" spans="2:8" x14ac:dyDescent="0.2">
      <c r="F5970" t="str">
        <f>"49339.3"</f>
        <v>49339.3</v>
      </c>
      <c r="H5970" t="s">
        <v>4413</v>
      </c>
    </row>
    <row r="5971" spans="2:8" x14ac:dyDescent="0.2">
      <c r="G5971" t="str">
        <f>"49339.31"</f>
        <v>49339.31</v>
      </c>
      <c r="H5971" t="s">
        <v>4414</v>
      </c>
    </row>
    <row r="5972" spans="2:8" x14ac:dyDescent="0.2">
      <c r="G5972" t="str">
        <f>"49339.39"</f>
        <v>49339.39</v>
      </c>
      <c r="H5972" t="s">
        <v>4415</v>
      </c>
    </row>
    <row r="5973" spans="2:8" x14ac:dyDescent="0.2">
      <c r="C5973" t="str">
        <f>"494"</f>
        <v>494</v>
      </c>
      <c r="H5973" t="s">
        <v>4416</v>
      </c>
    </row>
    <row r="5974" spans="2:8" x14ac:dyDescent="0.2">
      <c r="D5974" t="str">
        <f>"4940"</f>
        <v>4940</v>
      </c>
      <c r="H5974" t="s">
        <v>4416</v>
      </c>
    </row>
    <row r="5975" spans="2:8" x14ac:dyDescent="0.2">
      <c r="E5975" t="str">
        <f>"49400"</f>
        <v>49400</v>
      </c>
      <c r="H5975" t="s">
        <v>4416</v>
      </c>
    </row>
    <row r="5976" spans="2:8" x14ac:dyDescent="0.2">
      <c r="F5976" t="str">
        <f>"49400.0"</f>
        <v>49400.0</v>
      </c>
      <c r="H5976" t="s">
        <v>4416</v>
      </c>
    </row>
    <row r="5977" spans="2:8" x14ac:dyDescent="0.2">
      <c r="G5977" t="str">
        <f>"49400.01"</f>
        <v>49400.01</v>
      </c>
      <c r="H5977" t="s">
        <v>4417</v>
      </c>
    </row>
    <row r="5978" spans="2:8" x14ac:dyDescent="0.2">
      <c r="G5978" t="str">
        <f>"49400.02"</f>
        <v>49400.02</v>
      </c>
      <c r="H5978" t="s">
        <v>4418</v>
      </c>
    </row>
    <row r="5979" spans="2:8" x14ac:dyDescent="0.2">
      <c r="G5979" t="str">
        <f>"49400.09"</f>
        <v>49400.09</v>
      </c>
      <c r="H5979" t="s">
        <v>4419</v>
      </c>
    </row>
    <row r="5980" spans="2:8" x14ac:dyDescent="0.2">
      <c r="B5980" t="str">
        <f>"50"</f>
        <v>50</v>
      </c>
      <c r="H5980" t="s">
        <v>4420</v>
      </c>
    </row>
    <row r="5981" spans="2:8" x14ac:dyDescent="0.2">
      <c r="C5981" t="str">
        <f>"501"</f>
        <v>501</v>
      </c>
      <c r="H5981" t="s">
        <v>4421</v>
      </c>
    </row>
    <row r="5982" spans="2:8" x14ac:dyDescent="0.2">
      <c r="D5982" t="str">
        <f>"5011"</f>
        <v>5011</v>
      </c>
      <c r="H5982" t="s">
        <v>4422</v>
      </c>
    </row>
    <row r="5983" spans="2:8" x14ac:dyDescent="0.2">
      <c r="E5983" t="str">
        <f>"50111"</f>
        <v>50111</v>
      </c>
      <c r="H5983" t="s">
        <v>4423</v>
      </c>
    </row>
    <row r="5984" spans="2:8" x14ac:dyDescent="0.2">
      <c r="F5984" t="str">
        <f>"50111.0"</f>
        <v>50111.0</v>
      </c>
      <c r="H5984" t="s">
        <v>4424</v>
      </c>
    </row>
    <row r="5985" spans="4:8" x14ac:dyDescent="0.2">
      <c r="G5985" t="str">
        <f>"50111.00"</f>
        <v>50111.00</v>
      </c>
      <c r="H5985" t="s">
        <v>4424</v>
      </c>
    </row>
    <row r="5986" spans="4:8" x14ac:dyDescent="0.2">
      <c r="E5986" t="str">
        <f>"50112"</f>
        <v>50112</v>
      </c>
      <c r="H5986" t="s">
        <v>4425</v>
      </c>
    </row>
    <row r="5987" spans="4:8" x14ac:dyDescent="0.2">
      <c r="F5987" t="str">
        <f>"50112.0"</f>
        <v>50112.0</v>
      </c>
      <c r="H5987" t="s">
        <v>4426</v>
      </c>
    </row>
    <row r="5988" spans="4:8" x14ac:dyDescent="0.2">
      <c r="G5988" t="str">
        <f>"50112.01"</f>
        <v>50112.01</v>
      </c>
      <c r="H5988" t="s">
        <v>4427</v>
      </c>
    </row>
    <row r="5989" spans="4:8" x14ac:dyDescent="0.2">
      <c r="G5989" t="str">
        <f>"50112.02"</f>
        <v>50112.02</v>
      </c>
      <c r="H5989" t="s">
        <v>4428</v>
      </c>
    </row>
    <row r="5990" spans="4:8" x14ac:dyDescent="0.2">
      <c r="E5990" t="str">
        <f>"50119"</f>
        <v>50119</v>
      </c>
      <c r="H5990" t="s">
        <v>4429</v>
      </c>
    </row>
    <row r="5991" spans="4:8" x14ac:dyDescent="0.2">
      <c r="F5991" t="str">
        <f>"50119.0"</f>
        <v>50119.0</v>
      </c>
      <c r="H5991" t="s">
        <v>4430</v>
      </c>
    </row>
    <row r="5992" spans="4:8" x14ac:dyDescent="0.2">
      <c r="G5992" t="str">
        <f>"50119.00"</f>
        <v>50119.00</v>
      </c>
      <c r="H5992" t="s">
        <v>4430</v>
      </c>
    </row>
    <row r="5993" spans="4:8" x14ac:dyDescent="0.2">
      <c r="D5993" t="str">
        <f>"5012"</f>
        <v>5012</v>
      </c>
      <c r="H5993" t="s">
        <v>4431</v>
      </c>
    </row>
    <row r="5994" spans="4:8" x14ac:dyDescent="0.2">
      <c r="E5994" t="str">
        <f>"50121"</f>
        <v>50121</v>
      </c>
      <c r="H5994" t="s">
        <v>4431</v>
      </c>
    </row>
    <row r="5995" spans="4:8" x14ac:dyDescent="0.2">
      <c r="F5995" t="str">
        <f>"50121.1"</f>
        <v>50121.1</v>
      </c>
      <c r="H5995" t="s">
        <v>4432</v>
      </c>
    </row>
    <row r="5996" spans="4:8" x14ac:dyDescent="0.2">
      <c r="G5996" t="str">
        <f>"50121.11"</f>
        <v>50121.11</v>
      </c>
      <c r="H5996" t="s">
        <v>4432</v>
      </c>
    </row>
    <row r="5997" spans="4:8" x14ac:dyDescent="0.2">
      <c r="G5997" t="str">
        <f>"50121.12"</f>
        <v>50121.12</v>
      </c>
      <c r="H5997" t="s">
        <v>4433</v>
      </c>
    </row>
    <row r="5998" spans="4:8" x14ac:dyDescent="0.2">
      <c r="F5998" t="str">
        <f>"50121.2"</f>
        <v>50121.2</v>
      </c>
      <c r="H5998" t="s">
        <v>4434</v>
      </c>
    </row>
    <row r="5999" spans="4:8" x14ac:dyDescent="0.2">
      <c r="G5999" t="str">
        <f>"50121.21"</f>
        <v>50121.21</v>
      </c>
      <c r="H5999" t="s">
        <v>4434</v>
      </c>
    </row>
    <row r="6000" spans="4:8" x14ac:dyDescent="0.2">
      <c r="G6000" t="str">
        <f>"50121.22"</f>
        <v>50121.22</v>
      </c>
      <c r="H6000" t="s">
        <v>4435</v>
      </c>
    </row>
    <row r="6001" spans="3:8" x14ac:dyDescent="0.2">
      <c r="F6001" t="str">
        <f>"50121.3"</f>
        <v>50121.3</v>
      </c>
      <c r="H6001" t="s">
        <v>4436</v>
      </c>
    </row>
    <row r="6002" spans="3:8" x14ac:dyDescent="0.2">
      <c r="G6002" t="str">
        <f>"50121.31"</f>
        <v>50121.31</v>
      </c>
      <c r="H6002" t="s">
        <v>4437</v>
      </c>
    </row>
    <row r="6003" spans="3:8" x14ac:dyDescent="0.2">
      <c r="G6003" t="str">
        <f>"50121.32"</f>
        <v>50121.32</v>
      </c>
      <c r="H6003" t="s">
        <v>4438</v>
      </c>
    </row>
    <row r="6004" spans="3:8" x14ac:dyDescent="0.2">
      <c r="F6004" t="str">
        <f>"50121.4"</f>
        <v>50121.4</v>
      </c>
      <c r="H6004" t="s">
        <v>4439</v>
      </c>
    </row>
    <row r="6005" spans="3:8" x14ac:dyDescent="0.2">
      <c r="G6005" t="str">
        <f>"50121.41"</f>
        <v>50121.41</v>
      </c>
      <c r="H6005" t="s">
        <v>4439</v>
      </c>
    </row>
    <row r="6006" spans="3:8" x14ac:dyDescent="0.2">
      <c r="G6006" t="str">
        <f>"50121.42"</f>
        <v>50121.42</v>
      </c>
      <c r="H6006" t="s">
        <v>4440</v>
      </c>
    </row>
    <row r="6007" spans="3:8" x14ac:dyDescent="0.2">
      <c r="F6007" t="str">
        <f>"50121.5"</f>
        <v>50121.5</v>
      </c>
      <c r="H6007" t="s">
        <v>4441</v>
      </c>
    </row>
    <row r="6008" spans="3:8" x14ac:dyDescent="0.2">
      <c r="G6008" t="str">
        <f>"50121.51"</f>
        <v>50121.51</v>
      </c>
      <c r="H6008" t="s">
        <v>4441</v>
      </c>
    </row>
    <row r="6009" spans="3:8" x14ac:dyDescent="0.2">
      <c r="G6009" t="str">
        <f>"50121.52"</f>
        <v>50121.52</v>
      </c>
      <c r="H6009" t="s">
        <v>4442</v>
      </c>
    </row>
    <row r="6010" spans="3:8" x14ac:dyDescent="0.2">
      <c r="F6010" t="str">
        <f>"50121.9"</f>
        <v>50121.9</v>
      </c>
      <c r="H6010" t="s">
        <v>4443</v>
      </c>
    </row>
    <row r="6011" spans="3:8" x14ac:dyDescent="0.2">
      <c r="G6011" t="str">
        <f>"50121.91"</f>
        <v>50121.91</v>
      </c>
      <c r="H6011" t="s">
        <v>4443</v>
      </c>
    </row>
    <row r="6012" spans="3:8" x14ac:dyDescent="0.2">
      <c r="G6012" t="str">
        <f>"50121.92"</f>
        <v>50121.92</v>
      </c>
      <c r="H6012" t="s">
        <v>4444</v>
      </c>
    </row>
    <row r="6013" spans="3:8" x14ac:dyDescent="0.2">
      <c r="E6013" t="str">
        <f>"50122"</f>
        <v>50122</v>
      </c>
      <c r="H6013" t="s">
        <v>4445</v>
      </c>
    </row>
    <row r="6014" spans="3:8" x14ac:dyDescent="0.2">
      <c r="F6014" t="str">
        <f>"50122.0"</f>
        <v>50122.0</v>
      </c>
      <c r="H6014" t="s">
        <v>4446</v>
      </c>
    </row>
    <row r="6015" spans="3:8" x14ac:dyDescent="0.2">
      <c r="G6015" t="str">
        <f>"50122.00"</f>
        <v>50122.00</v>
      </c>
      <c r="H6015" t="s">
        <v>4446</v>
      </c>
    </row>
    <row r="6016" spans="3:8" x14ac:dyDescent="0.2">
      <c r="C6016" t="str">
        <f>"502"</f>
        <v>502</v>
      </c>
      <c r="H6016" t="s">
        <v>4447</v>
      </c>
    </row>
    <row r="6017" spans="4:8" x14ac:dyDescent="0.2">
      <c r="D6017" t="str">
        <f>"5021"</f>
        <v>5021</v>
      </c>
      <c r="H6017" t="s">
        <v>4448</v>
      </c>
    </row>
    <row r="6018" spans="4:8" x14ac:dyDescent="0.2">
      <c r="E6018" t="str">
        <f>"50211"</f>
        <v>50211</v>
      </c>
      <c r="H6018" t="s">
        <v>4449</v>
      </c>
    </row>
    <row r="6019" spans="4:8" x14ac:dyDescent="0.2">
      <c r="F6019" t="str">
        <f>"50211.0"</f>
        <v>50211.0</v>
      </c>
      <c r="H6019" t="s">
        <v>4450</v>
      </c>
    </row>
    <row r="6020" spans="4:8" x14ac:dyDescent="0.2">
      <c r="G6020" t="str">
        <f>"50211.01"</f>
        <v>50211.01</v>
      </c>
      <c r="H6020" t="s">
        <v>4450</v>
      </c>
    </row>
    <row r="6021" spans="4:8" x14ac:dyDescent="0.2">
      <c r="G6021" t="str">
        <f>"50211.02"</f>
        <v>50211.02</v>
      </c>
      <c r="H6021" t="s">
        <v>4451</v>
      </c>
    </row>
    <row r="6022" spans="4:8" x14ac:dyDescent="0.2">
      <c r="E6022" t="str">
        <f>"50212"</f>
        <v>50212</v>
      </c>
      <c r="H6022" t="s">
        <v>4452</v>
      </c>
    </row>
    <row r="6023" spans="4:8" x14ac:dyDescent="0.2">
      <c r="F6023" t="str">
        <f>"50212.0"</f>
        <v>50212.0</v>
      </c>
      <c r="H6023" t="s">
        <v>4453</v>
      </c>
    </row>
    <row r="6024" spans="4:8" x14ac:dyDescent="0.2">
      <c r="G6024" t="str">
        <f>"50212.01"</f>
        <v>50212.01</v>
      </c>
      <c r="H6024" t="s">
        <v>4454</v>
      </c>
    </row>
    <row r="6025" spans="4:8" x14ac:dyDescent="0.2">
      <c r="G6025" t="str">
        <f>"50212.02"</f>
        <v>50212.02</v>
      </c>
      <c r="H6025" t="s">
        <v>4455</v>
      </c>
    </row>
    <row r="6026" spans="4:8" x14ac:dyDescent="0.2">
      <c r="G6026" t="str">
        <f>"50212.03"</f>
        <v>50212.03</v>
      </c>
      <c r="H6026" t="s">
        <v>4456</v>
      </c>
    </row>
    <row r="6027" spans="4:8" x14ac:dyDescent="0.2">
      <c r="E6027" t="str">
        <f>"50219"</f>
        <v>50219</v>
      </c>
      <c r="H6027" t="s">
        <v>4457</v>
      </c>
    </row>
    <row r="6028" spans="4:8" x14ac:dyDescent="0.2">
      <c r="F6028" t="str">
        <f>"50219.0"</f>
        <v>50219.0</v>
      </c>
      <c r="H6028" t="s">
        <v>4458</v>
      </c>
    </row>
    <row r="6029" spans="4:8" x14ac:dyDescent="0.2">
      <c r="G6029" t="str">
        <f>"50219.01"</f>
        <v>50219.01</v>
      </c>
      <c r="H6029" t="s">
        <v>4457</v>
      </c>
    </row>
    <row r="6030" spans="4:8" x14ac:dyDescent="0.2">
      <c r="G6030" t="str">
        <f>"50219.02"</f>
        <v>50219.02</v>
      </c>
      <c r="H6030" t="s">
        <v>4459</v>
      </c>
    </row>
    <row r="6031" spans="4:8" x14ac:dyDescent="0.2">
      <c r="D6031" t="str">
        <f>"5022"</f>
        <v>5022</v>
      </c>
      <c r="H6031" t="s">
        <v>4460</v>
      </c>
    </row>
    <row r="6032" spans="4:8" x14ac:dyDescent="0.2">
      <c r="E6032" t="str">
        <f>"50221"</f>
        <v>50221</v>
      </c>
      <c r="H6032" t="s">
        <v>4460</v>
      </c>
    </row>
    <row r="6033" spans="5:8" x14ac:dyDescent="0.2">
      <c r="F6033" t="str">
        <f>"50221.1"</f>
        <v>50221.1</v>
      </c>
      <c r="H6033" t="s">
        <v>4461</v>
      </c>
    </row>
    <row r="6034" spans="5:8" x14ac:dyDescent="0.2">
      <c r="G6034" t="str">
        <f>"50221.11"</f>
        <v>50221.11</v>
      </c>
      <c r="H6034" t="s">
        <v>4461</v>
      </c>
    </row>
    <row r="6035" spans="5:8" x14ac:dyDescent="0.2">
      <c r="G6035" t="str">
        <f>"50221.12"</f>
        <v>50221.12</v>
      </c>
      <c r="H6035" t="s">
        <v>4462</v>
      </c>
    </row>
    <row r="6036" spans="5:8" x14ac:dyDescent="0.2">
      <c r="F6036" t="str">
        <f>"50221.2"</f>
        <v>50221.2</v>
      </c>
      <c r="H6036" t="s">
        <v>4463</v>
      </c>
    </row>
    <row r="6037" spans="5:8" x14ac:dyDescent="0.2">
      <c r="G6037" t="str">
        <f>"50221.21"</f>
        <v>50221.21</v>
      </c>
      <c r="H6037" t="s">
        <v>4463</v>
      </c>
    </row>
    <row r="6038" spans="5:8" x14ac:dyDescent="0.2">
      <c r="G6038" t="str">
        <f>"50221.22"</f>
        <v>50221.22</v>
      </c>
      <c r="H6038" t="s">
        <v>4464</v>
      </c>
    </row>
    <row r="6039" spans="5:8" x14ac:dyDescent="0.2">
      <c r="F6039" t="str">
        <f>"50221.3"</f>
        <v>50221.3</v>
      </c>
      <c r="H6039" t="s">
        <v>4465</v>
      </c>
    </row>
    <row r="6040" spans="5:8" x14ac:dyDescent="0.2">
      <c r="G6040" t="str">
        <f>"50221.31"</f>
        <v>50221.31</v>
      </c>
      <c r="H6040" t="s">
        <v>4465</v>
      </c>
    </row>
    <row r="6041" spans="5:8" x14ac:dyDescent="0.2">
      <c r="G6041" t="str">
        <f>"50221.32"</f>
        <v>50221.32</v>
      </c>
      <c r="H6041" t="s">
        <v>4466</v>
      </c>
    </row>
    <row r="6042" spans="5:8" x14ac:dyDescent="0.2">
      <c r="F6042" t="str">
        <f>"50221.4"</f>
        <v>50221.4</v>
      </c>
      <c r="H6042" t="s">
        <v>4467</v>
      </c>
    </row>
    <row r="6043" spans="5:8" x14ac:dyDescent="0.2">
      <c r="G6043" t="str">
        <f>"50221.41"</f>
        <v>50221.41</v>
      </c>
      <c r="H6043" t="s">
        <v>4467</v>
      </c>
    </row>
    <row r="6044" spans="5:8" x14ac:dyDescent="0.2">
      <c r="G6044" t="str">
        <f>"50221.42"</f>
        <v>50221.42</v>
      </c>
      <c r="H6044" t="s">
        <v>4468</v>
      </c>
    </row>
    <row r="6045" spans="5:8" x14ac:dyDescent="0.2">
      <c r="F6045" t="str">
        <f>"50221.9"</f>
        <v>50221.9</v>
      </c>
      <c r="H6045" t="s">
        <v>4469</v>
      </c>
    </row>
    <row r="6046" spans="5:8" x14ac:dyDescent="0.2">
      <c r="G6046" t="str">
        <f>"50221.91"</f>
        <v>50221.91</v>
      </c>
      <c r="H6046" t="s">
        <v>4470</v>
      </c>
    </row>
    <row r="6047" spans="5:8" x14ac:dyDescent="0.2">
      <c r="G6047" t="str">
        <f>"50221.92"</f>
        <v>50221.92</v>
      </c>
      <c r="H6047" t="s">
        <v>4471</v>
      </c>
    </row>
    <row r="6048" spans="5:8" x14ac:dyDescent="0.2">
      <c r="E6048" t="str">
        <f>"50222"</f>
        <v>50222</v>
      </c>
      <c r="H6048" t="s">
        <v>4472</v>
      </c>
    </row>
    <row r="6049" spans="2:8" x14ac:dyDescent="0.2">
      <c r="F6049" t="str">
        <f>"50222.0	"</f>
        <v xml:space="preserve">50222.0	</v>
      </c>
      <c r="H6049" t="s">
        <v>4473</v>
      </c>
    </row>
    <row r="6050" spans="2:8" x14ac:dyDescent="0.2">
      <c r="G6050" t="str">
        <f>"50222.00"</f>
        <v>50222.00</v>
      </c>
      <c r="H6050" t="s">
        <v>4473</v>
      </c>
    </row>
    <row r="6051" spans="2:8" x14ac:dyDescent="0.2">
      <c r="B6051" t="str">
        <f>"51"</f>
        <v>51</v>
      </c>
      <c r="H6051" t="s">
        <v>4474</v>
      </c>
    </row>
    <row r="6052" spans="2:8" x14ac:dyDescent="0.2">
      <c r="C6052" t="str">
        <f>"511"</f>
        <v>511</v>
      </c>
      <c r="H6052" t="s">
        <v>4475</v>
      </c>
    </row>
    <row r="6053" spans="2:8" x14ac:dyDescent="0.2">
      <c r="D6053" t="str">
        <f>"5110"</f>
        <v>5110</v>
      </c>
      <c r="H6053" t="s">
        <v>4475</v>
      </c>
    </row>
    <row r="6054" spans="2:8" x14ac:dyDescent="0.2">
      <c r="E6054" t="str">
        <f>"51101"</f>
        <v>51101</v>
      </c>
      <c r="H6054" t="s">
        <v>4476</v>
      </c>
    </row>
    <row r="6055" spans="2:8" x14ac:dyDescent="0.2">
      <c r="F6055" t="str">
        <f>"51101.0"</f>
        <v>51101.0</v>
      </c>
      <c r="H6055" t="s">
        <v>4477</v>
      </c>
    </row>
    <row r="6056" spans="2:8" x14ac:dyDescent="0.2">
      <c r="G6056" t="str">
        <f>"51101.01"</f>
        <v>51101.01</v>
      </c>
      <c r="H6056" t="s">
        <v>4478</v>
      </c>
    </row>
    <row r="6057" spans="2:8" x14ac:dyDescent="0.2">
      <c r="G6057" t="str">
        <f>"51101.02"</f>
        <v>51101.02</v>
      </c>
      <c r="H6057" t="s">
        <v>4479</v>
      </c>
    </row>
    <row r="6058" spans="2:8" x14ac:dyDescent="0.2">
      <c r="E6058" t="str">
        <f>"51102"</f>
        <v>51102</v>
      </c>
      <c r="H6058" t="s">
        <v>4480</v>
      </c>
    </row>
    <row r="6059" spans="2:8" x14ac:dyDescent="0.2">
      <c r="F6059" t="str">
        <f>"51102.1"</f>
        <v>51102.1</v>
      </c>
      <c r="H6059" t="s">
        <v>4481</v>
      </c>
    </row>
    <row r="6060" spans="2:8" x14ac:dyDescent="0.2">
      <c r="G6060" t="str">
        <f>"51102.11"</f>
        <v>51102.11</v>
      </c>
      <c r="H6060" t="s">
        <v>4482</v>
      </c>
    </row>
    <row r="6061" spans="2:8" x14ac:dyDescent="0.2">
      <c r="G6061" t="str">
        <f>"51102.12"</f>
        <v>51102.12</v>
      </c>
      <c r="H6061" t="s">
        <v>4483</v>
      </c>
    </row>
    <row r="6062" spans="2:8" x14ac:dyDescent="0.2">
      <c r="G6062" t="str">
        <f>"51102.13"</f>
        <v>51102.13</v>
      </c>
      <c r="H6062" t="s">
        <v>4484</v>
      </c>
    </row>
    <row r="6063" spans="2:8" x14ac:dyDescent="0.2">
      <c r="F6063" t="str">
        <f>"51102.2"</f>
        <v>51102.2</v>
      </c>
      <c r="H6063" t="s">
        <v>4485</v>
      </c>
    </row>
    <row r="6064" spans="2:8" x14ac:dyDescent="0.2">
      <c r="G6064" t="str">
        <f>"51102.20"</f>
        <v>51102.20</v>
      </c>
      <c r="H6064" t="s">
        <v>4485</v>
      </c>
    </row>
    <row r="6065" spans="3:8" x14ac:dyDescent="0.2">
      <c r="F6065" t="str">
        <f>"51102.3"</f>
        <v>51102.3</v>
      </c>
      <c r="H6065" t="s">
        <v>4486</v>
      </c>
    </row>
    <row r="6066" spans="3:8" x14ac:dyDescent="0.2">
      <c r="G6066" t="str">
        <f>"51102.30"</f>
        <v>51102.30</v>
      </c>
      <c r="H6066" t="s">
        <v>4486</v>
      </c>
    </row>
    <row r="6067" spans="3:8" x14ac:dyDescent="0.2">
      <c r="C6067" t="str">
        <f>"512"</f>
        <v>512</v>
      </c>
      <c r="H6067" t="s">
        <v>4487</v>
      </c>
    </row>
    <row r="6068" spans="3:8" x14ac:dyDescent="0.2">
      <c r="D6068" t="str">
        <f>"5120"</f>
        <v>5120</v>
      </c>
      <c r="H6068" t="s">
        <v>4487</v>
      </c>
    </row>
    <row r="6069" spans="3:8" x14ac:dyDescent="0.2">
      <c r="E6069" t="str">
        <f>"51201"</f>
        <v>51201</v>
      </c>
      <c r="H6069" t="s">
        <v>4488</v>
      </c>
    </row>
    <row r="6070" spans="3:8" x14ac:dyDescent="0.2">
      <c r="F6070" t="str">
        <f>"51201.0"</f>
        <v>51201.0</v>
      </c>
      <c r="H6070" t="s">
        <v>4489</v>
      </c>
    </row>
    <row r="6071" spans="3:8" x14ac:dyDescent="0.2">
      <c r="G6071" t="str">
        <f>"51201.01"</f>
        <v>51201.01</v>
      </c>
      <c r="H6071" t="s">
        <v>4490</v>
      </c>
    </row>
    <row r="6072" spans="3:8" x14ac:dyDescent="0.2">
      <c r="G6072" t="str">
        <f>"51201.02"</f>
        <v>51201.02</v>
      </c>
      <c r="H6072" t="s">
        <v>4491</v>
      </c>
    </row>
    <row r="6073" spans="3:8" x14ac:dyDescent="0.2">
      <c r="G6073" t="str">
        <f>"51201.09"</f>
        <v>51201.09</v>
      </c>
      <c r="H6073" t="s">
        <v>4492</v>
      </c>
    </row>
    <row r="6074" spans="3:8" x14ac:dyDescent="0.2">
      <c r="E6074" t="str">
        <f>"51202"</f>
        <v>51202</v>
      </c>
      <c r="H6074" t="s">
        <v>4493</v>
      </c>
    </row>
    <row r="6075" spans="3:8" x14ac:dyDescent="0.2">
      <c r="F6075" t="str">
        <f>"51202.1"</f>
        <v>51202.1</v>
      </c>
      <c r="H6075" t="s">
        <v>4494</v>
      </c>
    </row>
    <row r="6076" spans="3:8" x14ac:dyDescent="0.2">
      <c r="G6076" t="str">
        <f>"51202.11"</f>
        <v>51202.11</v>
      </c>
      <c r="H6076" t="s">
        <v>4495</v>
      </c>
    </row>
    <row r="6077" spans="3:8" x14ac:dyDescent="0.2">
      <c r="G6077" t="str">
        <f>"51202.19"</f>
        <v>51202.19</v>
      </c>
      <c r="H6077" t="s">
        <v>4496</v>
      </c>
    </row>
    <row r="6078" spans="3:8" x14ac:dyDescent="0.2">
      <c r="F6078" t="str">
        <f>"51202.2"</f>
        <v>51202.2</v>
      </c>
      <c r="H6078" t="s">
        <v>4497</v>
      </c>
    </row>
    <row r="6079" spans="3:8" x14ac:dyDescent="0.2">
      <c r="G6079" t="str">
        <f>"51202.20"</f>
        <v>51202.20</v>
      </c>
      <c r="H6079" t="s">
        <v>4497</v>
      </c>
    </row>
    <row r="6080" spans="3:8" x14ac:dyDescent="0.2">
      <c r="F6080" t="str">
        <f>"51202.3"</f>
        <v>51202.3</v>
      </c>
      <c r="H6080" t="s">
        <v>4498</v>
      </c>
    </row>
    <row r="6081" spans="2:8" x14ac:dyDescent="0.2">
      <c r="G6081" t="str">
        <f>"51202.30"</f>
        <v>51202.30</v>
      </c>
      <c r="H6081" t="s">
        <v>4498</v>
      </c>
    </row>
    <row r="6082" spans="2:8" x14ac:dyDescent="0.2">
      <c r="B6082" t="str">
        <f>"52"</f>
        <v>52</v>
      </c>
      <c r="H6082" t="s">
        <v>4499</v>
      </c>
    </row>
    <row r="6083" spans="2:8" x14ac:dyDescent="0.2">
      <c r="C6083" t="str">
        <f>"521"</f>
        <v>521</v>
      </c>
      <c r="H6083" t="s">
        <v>4500</v>
      </c>
    </row>
    <row r="6084" spans="2:8" x14ac:dyDescent="0.2">
      <c r="D6084" t="str">
        <f>"5210"</f>
        <v>5210</v>
      </c>
      <c r="H6084" t="s">
        <v>4500</v>
      </c>
    </row>
    <row r="6085" spans="2:8" x14ac:dyDescent="0.2">
      <c r="E6085" t="str">
        <f>"52101"</f>
        <v>52101</v>
      </c>
      <c r="H6085" t="s">
        <v>4501</v>
      </c>
    </row>
    <row r="6086" spans="2:8" x14ac:dyDescent="0.2">
      <c r="F6086" t="str">
        <f>"52101.0"</f>
        <v>52101.0</v>
      </c>
      <c r="H6086" t="s">
        <v>4502</v>
      </c>
    </row>
    <row r="6087" spans="2:8" x14ac:dyDescent="0.2">
      <c r="G6087" t="str">
        <f>"52101.00"</f>
        <v>52101.00</v>
      </c>
      <c r="H6087" t="s">
        <v>4502</v>
      </c>
    </row>
    <row r="6088" spans="2:8" x14ac:dyDescent="0.2">
      <c r="E6088" t="str">
        <f>"52102"</f>
        <v>52102</v>
      </c>
      <c r="H6088" t="s">
        <v>4503</v>
      </c>
    </row>
    <row r="6089" spans="2:8" x14ac:dyDescent="0.2">
      <c r="F6089" t="str">
        <f>"52102.0"</f>
        <v>52102.0</v>
      </c>
      <c r="H6089" t="s">
        <v>4504</v>
      </c>
    </row>
    <row r="6090" spans="2:8" x14ac:dyDescent="0.2">
      <c r="G6090" t="str">
        <f>"52102.00"</f>
        <v>52102.00</v>
      </c>
      <c r="H6090" t="s">
        <v>4504</v>
      </c>
    </row>
    <row r="6091" spans="2:8" x14ac:dyDescent="0.2">
      <c r="E6091" t="str">
        <f>"52109"</f>
        <v>52109</v>
      </c>
      <c r="H6091" t="s">
        <v>4505</v>
      </c>
    </row>
    <row r="6092" spans="2:8" x14ac:dyDescent="0.2">
      <c r="F6092" t="str">
        <f>"52109.0"</f>
        <v>52109.0</v>
      </c>
      <c r="H6092" t="s">
        <v>4505</v>
      </c>
    </row>
    <row r="6093" spans="2:8" x14ac:dyDescent="0.2">
      <c r="G6093" t="str">
        <f>"52109.01"</f>
        <v>52109.01</v>
      </c>
      <c r="H6093" t="s">
        <v>4506</v>
      </c>
    </row>
    <row r="6094" spans="2:8" x14ac:dyDescent="0.2">
      <c r="G6094" t="str">
        <f>"52109.09"</f>
        <v>52109.09</v>
      </c>
      <c r="H6094" t="s">
        <v>4507</v>
      </c>
    </row>
    <row r="6095" spans="2:8" x14ac:dyDescent="0.2">
      <c r="C6095" t="str">
        <f>"522"</f>
        <v>522</v>
      </c>
      <c r="H6095" t="s">
        <v>4508</v>
      </c>
    </row>
    <row r="6096" spans="2:8" x14ac:dyDescent="0.2">
      <c r="D6096" t="str">
        <f>"5221"</f>
        <v>5221</v>
      </c>
      <c r="H6096" t="s">
        <v>4509</v>
      </c>
    </row>
    <row r="6097" spans="5:8" x14ac:dyDescent="0.2">
      <c r="E6097" t="str">
        <f>"52211"</f>
        <v>52211</v>
      </c>
      <c r="H6097" t="s">
        <v>4510</v>
      </c>
    </row>
    <row r="6098" spans="5:8" x14ac:dyDescent="0.2">
      <c r="F6098" t="str">
        <f>"52211.0"</f>
        <v>52211.0</v>
      </c>
      <c r="H6098" t="s">
        <v>4510</v>
      </c>
    </row>
    <row r="6099" spans="5:8" x14ac:dyDescent="0.2">
      <c r="G6099" t="str">
        <f>"52211.01"</f>
        <v>52211.01</v>
      </c>
      <c r="H6099" t="s">
        <v>4511</v>
      </c>
    </row>
    <row r="6100" spans="5:8" x14ac:dyDescent="0.2">
      <c r="G6100" t="str">
        <f>"52211.09"</f>
        <v>52211.09</v>
      </c>
      <c r="H6100" t="s">
        <v>4512</v>
      </c>
    </row>
    <row r="6101" spans="5:8" x14ac:dyDescent="0.2">
      <c r="E6101" t="str">
        <f>"52212"</f>
        <v>52212</v>
      </c>
      <c r="H6101" t="s">
        <v>4513</v>
      </c>
    </row>
    <row r="6102" spans="5:8" x14ac:dyDescent="0.2">
      <c r="F6102" t="str">
        <f>"52212.0"</f>
        <v>52212.0</v>
      </c>
      <c r="H6102" t="s">
        <v>4514</v>
      </c>
    </row>
    <row r="6103" spans="5:8" x14ac:dyDescent="0.2">
      <c r="G6103" t="str">
        <f>"52212.00"</f>
        <v>52212.00</v>
      </c>
      <c r="H6103" t="s">
        <v>4514</v>
      </c>
    </row>
    <row r="6104" spans="5:8" x14ac:dyDescent="0.2">
      <c r="E6104" t="str">
        <f>"52213"</f>
        <v>52213</v>
      </c>
      <c r="H6104" t="s">
        <v>4515</v>
      </c>
    </row>
    <row r="6105" spans="5:8" x14ac:dyDescent="0.2">
      <c r="F6105" t="str">
        <f>"52213.0"</f>
        <v>52213.0</v>
      </c>
      <c r="H6105" t="s">
        <v>4516</v>
      </c>
    </row>
    <row r="6106" spans="5:8" x14ac:dyDescent="0.2">
      <c r="G6106" t="str">
        <f>"52213.00"</f>
        <v>52213.00</v>
      </c>
      <c r="H6106" t="s">
        <v>4516</v>
      </c>
    </row>
    <row r="6107" spans="5:8" x14ac:dyDescent="0.2">
      <c r="E6107" t="str">
        <f>"52214"</f>
        <v>52214</v>
      </c>
      <c r="H6107" t="s">
        <v>4517</v>
      </c>
    </row>
    <row r="6108" spans="5:8" x14ac:dyDescent="0.2">
      <c r="F6108" t="str">
        <f>"52214.0"</f>
        <v>52214.0</v>
      </c>
      <c r="H6108" t="s">
        <v>4518</v>
      </c>
    </row>
    <row r="6109" spans="5:8" x14ac:dyDescent="0.2">
      <c r="G6109" t="str">
        <f>"52214.00"</f>
        <v>52214.00</v>
      </c>
      <c r="H6109" t="s">
        <v>4518</v>
      </c>
    </row>
    <row r="6110" spans="5:8" x14ac:dyDescent="0.2">
      <c r="E6110" t="str">
        <f>"52219"</f>
        <v>52219</v>
      </c>
      <c r="H6110" t="s">
        <v>4519</v>
      </c>
    </row>
    <row r="6111" spans="5:8" x14ac:dyDescent="0.2">
      <c r="F6111" t="str">
        <f>"52219.0"</f>
        <v>52219.0</v>
      </c>
      <c r="H6111" t="s">
        <v>4520</v>
      </c>
    </row>
    <row r="6112" spans="5:8" x14ac:dyDescent="0.2">
      <c r="G6112" t="str">
        <f>"52219.01"</f>
        <v>52219.01</v>
      </c>
      <c r="H6112" t="s">
        <v>4521</v>
      </c>
    </row>
    <row r="6113" spans="4:8" x14ac:dyDescent="0.2">
      <c r="G6113" t="str">
        <f>"52219.02"</f>
        <v>52219.02</v>
      </c>
      <c r="H6113" t="s">
        <v>4522</v>
      </c>
    </row>
    <row r="6114" spans="4:8" x14ac:dyDescent="0.2">
      <c r="G6114" t="str">
        <f>"52219.03"</f>
        <v>52219.03</v>
      </c>
      <c r="H6114" t="s">
        <v>4523</v>
      </c>
    </row>
    <row r="6115" spans="4:8" x14ac:dyDescent="0.2">
      <c r="G6115" t="str">
        <f>"52219.04"</f>
        <v>52219.04</v>
      </c>
      <c r="H6115" t="s">
        <v>4524</v>
      </c>
    </row>
    <row r="6116" spans="4:8" x14ac:dyDescent="0.2">
      <c r="D6116" t="str">
        <f>"5222"</f>
        <v>5222</v>
      </c>
      <c r="H6116" t="s">
        <v>4525</v>
      </c>
    </row>
    <row r="6117" spans="4:8" x14ac:dyDescent="0.2">
      <c r="E6117" t="str">
        <f>"52221"</f>
        <v>52221</v>
      </c>
      <c r="H6117" t="s">
        <v>4526</v>
      </c>
    </row>
    <row r="6118" spans="4:8" x14ac:dyDescent="0.2">
      <c r="F6118" t="str">
        <f>"52221.0"</f>
        <v>52221.0</v>
      </c>
      <c r="H6118" t="s">
        <v>4526</v>
      </c>
    </row>
    <row r="6119" spans="4:8" x14ac:dyDescent="0.2">
      <c r="G6119" t="str">
        <f>"52221.01"</f>
        <v>52221.01</v>
      </c>
      <c r="H6119" t="s">
        <v>4527</v>
      </c>
    </row>
    <row r="6120" spans="4:8" x14ac:dyDescent="0.2">
      <c r="G6120" t="str">
        <f>"52221.02"</f>
        <v>52221.02</v>
      </c>
      <c r="H6120" t="s">
        <v>4528</v>
      </c>
    </row>
    <row r="6121" spans="4:8" x14ac:dyDescent="0.2">
      <c r="E6121" t="str">
        <f>"52229"</f>
        <v>52229</v>
      </c>
      <c r="H6121" t="s">
        <v>4529</v>
      </c>
    </row>
    <row r="6122" spans="4:8" x14ac:dyDescent="0.2">
      <c r="F6122" t="str">
        <f>"52229.0"</f>
        <v>52229.0</v>
      </c>
      <c r="H6122" t="s">
        <v>4530</v>
      </c>
    </row>
    <row r="6123" spans="4:8" x14ac:dyDescent="0.2">
      <c r="G6123" t="str">
        <f>"52229.01"</f>
        <v>52229.01</v>
      </c>
      <c r="H6123" t="s">
        <v>4531</v>
      </c>
    </row>
    <row r="6124" spans="4:8" x14ac:dyDescent="0.2">
      <c r="G6124" t="str">
        <f>"52229.02"</f>
        <v>52229.02</v>
      </c>
      <c r="H6124" t="s">
        <v>4532</v>
      </c>
    </row>
    <row r="6125" spans="4:8" x14ac:dyDescent="0.2">
      <c r="G6125" t="str">
        <f>"52229.03"</f>
        <v>52229.03</v>
      </c>
      <c r="H6125" t="s">
        <v>4533</v>
      </c>
    </row>
    <row r="6126" spans="4:8" x14ac:dyDescent="0.2">
      <c r="G6126" t="str">
        <f>"52229.04"</f>
        <v>52229.04</v>
      </c>
      <c r="H6126" t="s">
        <v>4534</v>
      </c>
    </row>
    <row r="6127" spans="4:8" x14ac:dyDescent="0.2">
      <c r="G6127" t="str">
        <f>"52229.09"</f>
        <v>52229.09</v>
      </c>
      <c r="H6127" t="s">
        <v>4535</v>
      </c>
    </row>
    <row r="6128" spans="4:8" x14ac:dyDescent="0.2">
      <c r="D6128" t="str">
        <f>"5223"</f>
        <v>5223</v>
      </c>
      <c r="H6128" t="s">
        <v>4536</v>
      </c>
    </row>
    <row r="6129" spans="4:8" x14ac:dyDescent="0.2">
      <c r="E6129" t="str">
        <f>"52231"</f>
        <v>52231</v>
      </c>
      <c r="H6129" t="s">
        <v>4537</v>
      </c>
    </row>
    <row r="6130" spans="4:8" x14ac:dyDescent="0.2">
      <c r="F6130" t="str">
        <f>"52231.0"</f>
        <v>52231.0</v>
      </c>
      <c r="H6130" t="s">
        <v>4538</v>
      </c>
    </row>
    <row r="6131" spans="4:8" x14ac:dyDescent="0.2">
      <c r="G6131" t="str">
        <f>"52231.00"</f>
        <v>52231.00</v>
      </c>
      <c r="H6131" t="s">
        <v>4538</v>
      </c>
    </row>
    <row r="6132" spans="4:8" x14ac:dyDescent="0.2">
      <c r="E6132" t="str">
        <f>"52239"</f>
        <v>52239</v>
      </c>
      <c r="H6132" t="s">
        <v>4539</v>
      </c>
    </row>
    <row r="6133" spans="4:8" x14ac:dyDescent="0.2">
      <c r="F6133" t="str">
        <f>"52239.1"</f>
        <v>52239.1</v>
      </c>
      <c r="H6133" t="s">
        <v>4540</v>
      </c>
    </row>
    <row r="6134" spans="4:8" x14ac:dyDescent="0.2">
      <c r="G6134" t="str">
        <f>"52239.11"</f>
        <v>52239.11</v>
      </c>
      <c r="H6134" t="s">
        <v>4541</v>
      </c>
    </row>
    <row r="6135" spans="4:8" x14ac:dyDescent="0.2">
      <c r="G6135" t="str">
        <f>"52239.19"</f>
        <v>52239.19</v>
      </c>
      <c r="H6135" t="s">
        <v>4542</v>
      </c>
    </row>
    <row r="6136" spans="4:8" x14ac:dyDescent="0.2">
      <c r="F6136" t="str">
        <f>"52239.2"</f>
        <v>52239.2</v>
      </c>
      <c r="H6136" t="s">
        <v>4543</v>
      </c>
    </row>
    <row r="6137" spans="4:8" x14ac:dyDescent="0.2">
      <c r="G6137" t="str">
        <f>"52239.20"</f>
        <v>52239.20</v>
      </c>
      <c r="H6137" t="s">
        <v>4543</v>
      </c>
    </row>
    <row r="6138" spans="4:8" x14ac:dyDescent="0.2">
      <c r="D6138" t="str">
        <f>"5224"</f>
        <v>5224</v>
      </c>
      <c r="H6138" t="s">
        <v>4544</v>
      </c>
    </row>
    <row r="6139" spans="4:8" x14ac:dyDescent="0.2">
      <c r="E6139" t="str">
        <f>"52241"</f>
        <v>52241</v>
      </c>
      <c r="H6139" t="s">
        <v>4544</v>
      </c>
    </row>
    <row r="6140" spans="4:8" x14ac:dyDescent="0.2">
      <c r="F6140" t="str">
        <f>"52241.0"</f>
        <v>52241.0</v>
      </c>
      <c r="H6140" t="s">
        <v>4544</v>
      </c>
    </row>
    <row r="6141" spans="4:8" x14ac:dyDescent="0.2">
      <c r="G6141" t="str">
        <f>"52241.01"</f>
        <v>52241.01</v>
      </c>
      <c r="H6141" t="s">
        <v>4545</v>
      </c>
    </row>
    <row r="6142" spans="4:8" x14ac:dyDescent="0.2">
      <c r="G6142" t="str">
        <f>"52241.02"</f>
        <v>52241.02</v>
      </c>
      <c r="H6142" t="s">
        <v>4546</v>
      </c>
    </row>
    <row r="6143" spans="4:8" x14ac:dyDescent="0.2">
      <c r="G6143" t="str">
        <f>"52241.03"</f>
        <v>52241.03</v>
      </c>
      <c r="H6143" t="s">
        <v>4547</v>
      </c>
    </row>
    <row r="6144" spans="4:8" x14ac:dyDescent="0.2">
      <c r="G6144" t="str">
        <f>"52241.04"</f>
        <v>52241.04</v>
      </c>
      <c r="H6144" t="s">
        <v>4548</v>
      </c>
    </row>
    <row r="6145" spans="4:8" x14ac:dyDescent="0.2">
      <c r="E6145" t="str">
        <f>"52242"</f>
        <v>52242</v>
      </c>
      <c r="H6145" t="s">
        <v>4549</v>
      </c>
    </row>
    <row r="6146" spans="4:8" x14ac:dyDescent="0.2">
      <c r="F6146" t="str">
        <f>"52242.0"</f>
        <v>52242.0</v>
      </c>
      <c r="H6146" t="s">
        <v>4550</v>
      </c>
    </row>
    <row r="6147" spans="4:8" x14ac:dyDescent="0.2">
      <c r="G6147" t="str">
        <f>"52242.00"</f>
        <v>52242.00</v>
      </c>
      <c r="H6147" t="s">
        <v>4550</v>
      </c>
    </row>
    <row r="6148" spans="4:8" x14ac:dyDescent="0.2">
      <c r="D6148" t="str">
        <f>"5229"</f>
        <v>5229</v>
      </c>
      <c r="H6148" t="s">
        <v>4551</v>
      </c>
    </row>
    <row r="6149" spans="4:8" x14ac:dyDescent="0.2">
      <c r="E6149" t="str">
        <f>"52291"</f>
        <v>52291</v>
      </c>
      <c r="H6149" t="s">
        <v>4552</v>
      </c>
    </row>
    <row r="6150" spans="4:8" x14ac:dyDescent="0.2">
      <c r="F6150" t="str">
        <f>"52291.0"</f>
        <v>52291.0</v>
      </c>
      <c r="H6150" t="s">
        <v>4553</v>
      </c>
    </row>
    <row r="6151" spans="4:8" x14ac:dyDescent="0.2">
      <c r="G6151" t="str">
        <f>"52291.00"</f>
        <v>52291.00</v>
      </c>
      <c r="H6151" t="s">
        <v>4553</v>
      </c>
    </row>
    <row r="6152" spans="4:8" x14ac:dyDescent="0.2">
      <c r="E6152" t="str">
        <f>"52292"</f>
        <v>52292</v>
      </c>
      <c r="H6152" t="s">
        <v>4554</v>
      </c>
    </row>
    <row r="6153" spans="4:8" x14ac:dyDescent="0.2">
      <c r="F6153" t="str">
        <f>"52292.0"</f>
        <v>52292.0</v>
      </c>
      <c r="H6153" t="s">
        <v>4554</v>
      </c>
    </row>
    <row r="6154" spans="4:8" x14ac:dyDescent="0.2">
      <c r="G6154" t="str">
        <f>"52292.01"</f>
        <v>52292.01</v>
      </c>
      <c r="H6154" t="s">
        <v>4555</v>
      </c>
    </row>
    <row r="6155" spans="4:8" x14ac:dyDescent="0.2">
      <c r="G6155" t="str">
        <f>"52292.02"</f>
        <v>52292.02</v>
      </c>
      <c r="H6155" t="s">
        <v>4556</v>
      </c>
    </row>
    <row r="6156" spans="4:8" x14ac:dyDescent="0.2">
      <c r="G6156" t="str">
        <f>"52292.09"</f>
        <v>52292.09</v>
      </c>
      <c r="H6156" t="s">
        <v>4557</v>
      </c>
    </row>
    <row r="6157" spans="4:8" x14ac:dyDescent="0.2">
      <c r="E6157" t="str">
        <f>"52293"</f>
        <v>52293</v>
      </c>
      <c r="H6157" t="s">
        <v>4558</v>
      </c>
    </row>
    <row r="6158" spans="4:8" x14ac:dyDescent="0.2">
      <c r="F6158" t="str">
        <f>"52293.0"</f>
        <v>52293.0</v>
      </c>
      <c r="H6158" t="s">
        <v>4559</v>
      </c>
    </row>
    <row r="6159" spans="4:8" x14ac:dyDescent="0.2">
      <c r="G6159" t="str">
        <f>"52293.00"</f>
        <v>52293.00</v>
      </c>
      <c r="H6159" t="s">
        <v>4559</v>
      </c>
    </row>
    <row r="6160" spans="4:8" x14ac:dyDescent="0.2">
      <c r="E6160" t="str">
        <f>"52299"</f>
        <v>52299</v>
      </c>
      <c r="H6160" t="s">
        <v>4560</v>
      </c>
    </row>
    <row r="6161" spans="2:8" x14ac:dyDescent="0.2">
      <c r="F6161" t="str">
        <f>"52299.0"</f>
        <v>52299.0</v>
      </c>
      <c r="H6161" t="s">
        <v>4561</v>
      </c>
    </row>
    <row r="6162" spans="2:8" x14ac:dyDescent="0.2">
      <c r="G6162" t="str">
        <f>"52299.00"</f>
        <v>52299.00</v>
      </c>
      <c r="H6162" t="s">
        <v>4561</v>
      </c>
    </row>
    <row r="6163" spans="2:8" x14ac:dyDescent="0.2">
      <c r="B6163" t="str">
        <f>"53"</f>
        <v>53</v>
      </c>
      <c r="H6163" t="s">
        <v>4562</v>
      </c>
    </row>
    <row r="6164" spans="2:8" x14ac:dyDescent="0.2">
      <c r="C6164" t="str">
        <f>"531"</f>
        <v>531</v>
      </c>
      <c r="H6164" t="s">
        <v>4563</v>
      </c>
    </row>
    <row r="6165" spans="2:8" x14ac:dyDescent="0.2">
      <c r="D6165" t="str">
        <f>"5310"</f>
        <v>5310</v>
      </c>
      <c r="H6165" t="s">
        <v>4563</v>
      </c>
    </row>
    <row r="6166" spans="2:8" x14ac:dyDescent="0.2">
      <c r="E6166" t="str">
        <f>"53100"</f>
        <v>53100</v>
      </c>
      <c r="H6166" t="s">
        <v>4563</v>
      </c>
    </row>
    <row r="6167" spans="2:8" x14ac:dyDescent="0.2">
      <c r="F6167" t="str">
        <f>"53100.0"</f>
        <v>53100.0</v>
      </c>
      <c r="H6167" t="s">
        <v>4563</v>
      </c>
    </row>
    <row r="6168" spans="2:8" x14ac:dyDescent="0.2">
      <c r="G6168" t="str">
        <f>"53100.01"</f>
        <v>53100.01</v>
      </c>
      <c r="H6168" t="s">
        <v>4564</v>
      </c>
    </row>
    <row r="6169" spans="2:8" x14ac:dyDescent="0.2">
      <c r="G6169" t="str">
        <f>"53100.02"</f>
        <v>53100.02</v>
      </c>
      <c r="H6169" t="s">
        <v>4565</v>
      </c>
    </row>
    <row r="6170" spans="2:8" x14ac:dyDescent="0.2">
      <c r="G6170" t="str">
        <f>"53100.03"</f>
        <v>53100.03</v>
      </c>
      <c r="H6170" t="s">
        <v>4566</v>
      </c>
    </row>
    <row r="6171" spans="2:8" x14ac:dyDescent="0.2">
      <c r="G6171" t="str">
        <f>"53100.04"</f>
        <v>53100.04</v>
      </c>
      <c r="H6171" t="s">
        <v>4567</v>
      </c>
    </row>
    <row r="6172" spans="2:8" x14ac:dyDescent="0.2">
      <c r="G6172" t="str">
        <f>"53100.09"</f>
        <v>53100.09</v>
      </c>
      <c r="H6172" t="s">
        <v>4568</v>
      </c>
    </row>
    <row r="6173" spans="2:8" x14ac:dyDescent="0.2">
      <c r="C6173" t="str">
        <f>"532"</f>
        <v>532</v>
      </c>
      <c r="H6173" t="s">
        <v>4569</v>
      </c>
    </row>
    <row r="6174" spans="2:8" x14ac:dyDescent="0.2">
      <c r="D6174" t="str">
        <f>"5320"</f>
        <v>5320</v>
      </c>
      <c r="H6174" t="s">
        <v>4569</v>
      </c>
    </row>
    <row r="6175" spans="2:8" x14ac:dyDescent="0.2">
      <c r="E6175" t="str">
        <f>"53200"</f>
        <v>53200</v>
      </c>
      <c r="H6175" t="s">
        <v>4569</v>
      </c>
    </row>
    <row r="6176" spans="2:8" x14ac:dyDescent="0.2">
      <c r="F6176" t="str">
        <f>"53200.01"</f>
        <v>53200.01</v>
      </c>
      <c r="H6176" t="s">
        <v>4570</v>
      </c>
    </row>
    <row r="6177" spans="1:8" x14ac:dyDescent="0.2">
      <c r="F6177" t="str">
        <f>"53200.02"</f>
        <v>53200.02</v>
      </c>
      <c r="H6177" t="s">
        <v>4571</v>
      </c>
    </row>
    <row r="6178" spans="1:8" x14ac:dyDescent="0.2">
      <c r="F6178" t="str">
        <f>"53200.09"</f>
        <v>53200.09</v>
      </c>
      <c r="H6178" t="s">
        <v>4572</v>
      </c>
    </row>
    <row r="6179" spans="1:8" x14ac:dyDescent="0.2">
      <c r="A6179" t="s">
        <v>4573</v>
      </c>
      <c r="H6179" t="s">
        <v>4574</v>
      </c>
    </row>
    <row r="6180" spans="1:8" x14ac:dyDescent="0.2">
      <c r="B6180" t="str">
        <f>"55"</f>
        <v>55</v>
      </c>
      <c r="H6180" t="s">
        <v>4575</v>
      </c>
    </row>
    <row r="6181" spans="1:8" x14ac:dyDescent="0.2">
      <c r="C6181" t="str">
        <f>"551"</f>
        <v>551</v>
      </c>
      <c r="H6181" t="s">
        <v>4576</v>
      </c>
    </row>
    <row r="6182" spans="1:8" x14ac:dyDescent="0.2">
      <c r="D6182" t="str">
        <f>"5510"</f>
        <v>5510</v>
      </c>
      <c r="H6182" t="s">
        <v>4576</v>
      </c>
    </row>
    <row r="6183" spans="1:8" x14ac:dyDescent="0.2">
      <c r="E6183" t="str">
        <f>"55101"</f>
        <v>55101</v>
      </c>
      <c r="H6183" t="s">
        <v>4577</v>
      </c>
    </row>
    <row r="6184" spans="1:8" x14ac:dyDescent="0.2">
      <c r="F6184" t="str">
        <f>"55101.0"</f>
        <v>55101.0</v>
      </c>
      <c r="H6184" t="s">
        <v>4577</v>
      </c>
    </row>
    <row r="6185" spans="1:8" x14ac:dyDescent="0.2">
      <c r="G6185" t="str">
        <f>"55101.00"</f>
        <v>55101.00</v>
      </c>
      <c r="H6185" t="s">
        <v>4577</v>
      </c>
    </row>
    <row r="6186" spans="1:8" x14ac:dyDescent="0.2">
      <c r="E6186" t="str">
        <f>"55102"</f>
        <v>55102</v>
      </c>
      <c r="H6186" t="s">
        <v>4578</v>
      </c>
    </row>
    <row r="6187" spans="1:8" x14ac:dyDescent="0.2">
      <c r="F6187" t="str">
        <f>"55102.0"</f>
        <v>55102.0</v>
      </c>
      <c r="H6187" t="s">
        <v>4578</v>
      </c>
    </row>
    <row r="6188" spans="1:8" x14ac:dyDescent="0.2">
      <c r="G6188" t="str">
        <f>"55102.00"</f>
        <v>55102.00</v>
      </c>
      <c r="H6188" t="s">
        <v>4579</v>
      </c>
    </row>
    <row r="6189" spans="1:8" x14ac:dyDescent="0.2">
      <c r="E6189" t="str">
        <f>"55103"</f>
        <v>55103</v>
      </c>
      <c r="H6189" t="s">
        <v>4580</v>
      </c>
    </row>
    <row r="6190" spans="1:8" x14ac:dyDescent="0.2">
      <c r="F6190" t="str">
        <f>"55103.0"</f>
        <v>55103.0</v>
      </c>
      <c r="H6190" t="s">
        <v>4580</v>
      </c>
    </row>
    <row r="6191" spans="1:8" x14ac:dyDescent="0.2">
      <c r="G6191" t="str">
        <f>"55103.00"</f>
        <v>55103.00</v>
      </c>
      <c r="H6191" t="s">
        <v>4580</v>
      </c>
    </row>
    <row r="6192" spans="1:8" x14ac:dyDescent="0.2">
      <c r="E6192" t="str">
        <f>"55109"</f>
        <v>55109</v>
      </c>
      <c r="H6192" t="s">
        <v>4581</v>
      </c>
    </row>
    <row r="6193" spans="3:8" x14ac:dyDescent="0.2">
      <c r="F6193" t="str">
        <f>"55109.0"</f>
        <v>55109.0</v>
      </c>
      <c r="H6193" t="s">
        <v>4581</v>
      </c>
    </row>
    <row r="6194" spans="3:8" x14ac:dyDescent="0.2">
      <c r="G6194" t="str">
        <f>"55109.01"</f>
        <v>55109.01</v>
      </c>
      <c r="H6194" t="s">
        <v>4582</v>
      </c>
    </row>
    <row r="6195" spans="3:8" x14ac:dyDescent="0.2">
      <c r="G6195" t="str">
        <f>"55109.02"</f>
        <v>55109.02</v>
      </c>
      <c r="H6195" t="s">
        <v>4583</v>
      </c>
    </row>
    <row r="6196" spans="3:8" x14ac:dyDescent="0.2">
      <c r="G6196" t="str">
        <f>"55109.09"</f>
        <v>55109.09</v>
      </c>
      <c r="H6196" t="s">
        <v>4584</v>
      </c>
    </row>
    <row r="6197" spans="3:8" x14ac:dyDescent="0.2">
      <c r="C6197" t="str">
        <f>"552"</f>
        <v>552</v>
      </c>
      <c r="H6197" t="s">
        <v>4585</v>
      </c>
    </row>
    <row r="6198" spans="3:8" x14ac:dyDescent="0.2">
      <c r="D6198" t="str">
        <f>"5520"</f>
        <v>5520</v>
      </c>
      <c r="H6198" t="s">
        <v>4585</v>
      </c>
    </row>
    <row r="6199" spans="3:8" x14ac:dyDescent="0.2">
      <c r="E6199" t="str">
        <f>"55200"</f>
        <v>55200</v>
      </c>
      <c r="H6199" t="s">
        <v>4585</v>
      </c>
    </row>
    <row r="6200" spans="3:8" x14ac:dyDescent="0.2">
      <c r="F6200" t="str">
        <f>"55200.0"</f>
        <v>55200.0</v>
      </c>
      <c r="H6200" t="s">
        <v>4585</v>
      </c>
    </row>
    <row r="6201" spans="3:8" x14ac:dyDescent="0.2">
      <c r="G6201" t="str">
        <f>"55200.01"</f>
        <v>55200.01</v>
      </c>
      <c r="H6201" t="s">
        <v>4586</v>
      </c>
    </row>
    <row r="6202" spans="3:8" x14ac:dyDescent="0.2">
      <c r="G6202" t="str">
        <f>"55200.02"</f>
        <v>55200.02</v>
      </c>
      <c r="H6202" t="s">
        <v>4587</v>
      </c>
    </row>
    <row r="6203" spans="3:8" x14ac:dyDescent="0.2">
      <c r="C6203" t="str">
        <f>"559"</f>
        <v>559</v>
      </c>
      <c r="H6203" t="s">
        <v>4588</v>
      </c>
    </row>
    <row r="6204" spans="3:8" x14ac:dyDescent="0.2">
      <c r="D6204" t="str">
        <f>"5590"</f>
        <v>5590</v>
      </c>
      <c r="H6204" t="s">
        <v>4588</v>
      </c>
    </row>
    <row r="6205" spans="3:8" x14ac:dyDescent="0.2">
      <c r="E6205" t="str">
        <f>"55901"</f>
        <v>55901</v>
      </c>
      <c r="H6205" t="s">
        <v>4589</v>
      </c>
    </row>
    <row r="6206" spans="3:8" x14ac:dyDescent="0.2">
      <c r="F6206" t="str">
        <f>"55901.0"</f>
        <v>55901.0</v>
      </c>
      <c r="H6206" t="s">
        <v>4590</v>
      </c>
    </row>
    <row r="6207" spans="3:8" x14ac:dyDescent="0.2">
      <c r="G6207" t="str">
        <f>"55901.00"</f>
        <v>55901.00</v>
      </c>
      <c r="H6207" t="s">
        <v>4590</v>
      </c>
    </row>
    <row r="6208" spans="3:8" x14ac:dyDescent="0.2">
      <c r="E6208" t="str">
        <f>"55909"</f>
        <v>55909</v>
      </c>
      <c r="H6208" t="s">
        <v>4591</v>
      </c>
    </row>
    <row r="6209" spans="2:8" x14ac:dyDescent="0.2">
      <c r="F6209" t="str">
        <f>"55909.0"</f>
        <v>55909.0</v>
      </c>
      <c r="H6209" t="s">
        <v>4591</v>
      </c>
    </row>
    <row r="6210" spans="2:8" x14ac:dyDescent="0.2">
      <c r="G6210" t="str">
        <f>"55909.01	"</f>
        <v xml:space="preserve">55909.01	</v>
      </c>
      <c r="H6210" t="s">
        <v>4592</v>
      </c>
    </row>
    <row r="6211" spans="2:8" x14ac:dyDescent="0.2">
      <c r="G6211" t="str">
        <f>"55909.02"</f>
        <v>55909.02</v>
      </c>
      <c r="H6211" t="s">
        <v>4593</v>
      </c>
    </row>
    <row r="6212" spans="2:8" x14ac:dyDescent="0.2">
      <c r="G6212" t="str">
        <f>"55909.09"</f>
        <v>55909.09</v>
      </c>
      <c r="H6212" t="s">
        <v>4591</v>
      </c>
    </row>
    <row r="6213" spans="2:8" x14ac:dyDescent="0.2">
      <c r="B6213" t="str">
        <f>"56"</f>
        <v>56</v>
      </c>
      <c r="H6213" t="s">
        <v>4594</v>
      </c>
    </row>
    <row r="6214" spans="2:8" x14ac:dyDescent="0.2">
      <c r="C6214" t="str">
        <f>"561"</f>
        <v>561</v>
      </c>
      <c r="H6214" t="s">
        <v>4595</v>
      </c>
    </row>
    <row r="6215" spans="2:8" x14ac:dyDescent="0.2">
      <c r="D6215" t="str">
        <f>"5610"</f>
        <v>5610</v>
      </c>
      <c r="H6215" t="s">
        <v>4595</v>
      </c>
    </row>
    <row r="6216" spans="2:8" x14ac:dyDescent="0.2">
      <c r="E6216" t="str">
        <f>"56101"</f>
        <v>56101</v>
      </c>
      <c r="H6216" t="s">
        <v>4596</v>
      </c>
    </row>
    <row r="6217" spans="2:8" x14ac:dyDescent="0.2">
      <c r="F6217" t="str">
        <f>"56101.0"</f>
        <v>56101.0</v>
      </c>
      <c r="H6217" t="s">
        <v>4596</v>
      </c>
    </row>
    <row r="6218" spans="2:8" x14ac:dyDescent="0.2">
      <c r="G6218" t="str">
        <f>"56101.01"</f>
        <v>56101.01</v>
      </c>
      <c r="H6218" t="s">
        <v>4597</v>
      </c>
    </row>
    <row r="6219" spans="2:8" x14ac:dyDescent="0.2">
      <c r="G6219" t="str">
        <f>"56101.02"</f>
        <v>56101.02</v>
      </c>
      <c r="H6219" t="s">
        <v>4598</v>
      </c>
    </row>
    <row r="6220" spans="2:8" x14ac:dyDescent="0.2">
      <c r="G6220" t="str">
        <f>"56101.03"</f>
        <v>56101.03</v>
      </c>
      <c r="H6220" t="s">
        <v>4599</v>
      </c>
    </row>
    <row r="6221" spans="2:8" x14ac:dyDescent="0.2">
      <c r="E6221" t="str">
        <f>"56102"</f>
        <v>56102</v>
      </c>
      <c r="H6221" t="s">
        <v>4600</v>
      </c>
    </row>
    <row r="6222" spans="2:8" x14ac:dyDescent="0.2">
      <c r="F6222" t="str">
        <f>"56102.0"</f>
        <v>56102.0</v>
      </c>
      <c r="H6222" t="s">
        <v>4600</v>
      </c>
    </row>
    <row r="6223" spans="2:8" x14ac:dyDescent="0.2">
      <c r="G6223" t="str">
        <f>"56102.00"</f>
        <v>56102.00</v>
      </c>
      <c r="H6223" t="s">
        <v>4600</v>
      </c>
    </row>
    <row r="6224" spans="2:8" x14ac:dyDescent="0.2">
      <c r="E6224" t="str">
        <f>"56103"</f>
        <v>56103</v>
      </c>
      <c r="H6224" t="s">
        <v>4601</v>
      </c>
    </row>
    <row r="6225" spans="3:8" x14ac:dyDescent="0.2">
      <c r="F6225" t="str">
        <f>"56103.0"</f>
        <v>56103.0</v>
      </c>
      <c r="H6225" t="s">
        <v>4601</v>
      </c>
    </row>
    <row r="6226" spans="3:8" x14ac:dyDescent="0.2">
      <c r="G6226" t="str">
        <f>"56103.00"</f>
        <v>56103.00</v>
      </c>
      <c r="H6226" t="s">
        <v>4602</v>
      </c>
    </row>
    <row r="6227" spans="3:8" x14ac:dyDescent="0.2">
      <c r="C6227" t="str">
        <f>"562"</f>
        <v>562</v>
      </c>
      <c r="H6227" t="s">
        <v>4603</v>
      </c>
    </row>
    <row r="6228" spans="3:8" x14ac:dyDescent="0.2">
      <c r="D6228" t="str">
        <f>"5621"</f>
        <v>5621</v>
      </c>
      <c r="H6228" t="s">
        <v>4604</v>
      </c>
    </row>
    <row r="6229" spans="3:8" x14ac:dyDescent="0.2">
      <c r="E6229" t="str">
        <f>"56210"</f>
        <v>56210</v>
      </c>
      <c r="H6229" t="s">
        <v>4604</v>
      </c>
    </row>
    <row r="6230" spans="3:8" x14ac:dyDescent="0.2">
      <c r="F6230" t="str">
        <f>"56210.0"</f>
        <v>56210.0</v>
      </c>
      <c r="H6230" t="s">
        <v>4604</v>
      </c>
    </row>
    <row r="6231" spans="3:8" x14ac:dyDescent="0.2">
      <c r="G6231" t="str">
        <f>"56210.01"</f>
        <v>56210.01</v>
      </c>
      <c r="H6231" t="s">
        <v>4605</v>
      </c>
    </row>
    <row r="6232" spans="3:8" x14ac:dyDescent="0.2">
      <c r="G6232" t="str">
        <f>"56210.09"</f>
        <v>56210.09</v>
      </c>
      <c r="H6232" t="s">
        <v>4606</v>
      </c>
    </row>
    <row r="6233" spans="3:8" x14ac:dyDescent="0.2">
      <c r="D6233" t="str">
        <f>"5629"</f>
        <v>5629</v>
      </c>
      <c r="H6233" t="s">
        <v>4607</v>
      </c>
    </row>
    <row r="6234" spans="3:8" x14ac:dyDescent="0.2">
      <c r="E6234" t="str">
        <f>"56291"</f>
        <v>56291</v>
      </c>
      <c r="H6234" t="s">
        <v>4608</v>
      </c>
    </row>
    <row r="6235" spans="3:8" x14ac:dyDescent="0.2">
      <c r="F6235" t="str">
        <f>"56291.0"</f>
        <v>56291.0</v>
      </c>
      <c r="H6235" t="s">
        <v>4608</v>
      </c>
    </row>
    <row r="6236" spans="3:8" x14ac:dyDescent="0.2">
      <c r="G6236" t="str">
        <f>"56291.00"</f>
        <v>56291.00</v>
      </c>
      <c r="H6236" t="s">
        <v>4609</v>
      </c>
    </row>
    <row r="6237" spans="3:8" x14ac:dyDescent="0.2">
      <c r="E6237" t="str">
        <f>"56292"</f>
        <v>56292</v>
      </c>
      <c r="H6237" t="s">
        <v>4610</v>
      </c>
    </row>
    <row r="6238" spans="3:8" x14ac:dyDescent="0.2">
      <c r="F6238" t="str">
        <f>"56292.0"</f>
        <v>56292.0</v>
      </c>
      <c r="H6238" t="s">
        <v>4611</v>
      </c>
    </row>
    <row r="6239" spans="3:8" x14ac:dyDescent="0.2">
      <c r="G6239" t="str">
        <f>"56292.00"</f>
        <v>56292.00</v>
      </c>
      <c r="H6239" t="s">
        <v>4610</v>
      </c>
    </row>
    <row r="6240" spans="3:8" x14ac:dyDescent="0.2">
      <c r="E6240" t="str">
        <f>"56299"</f>
        <v>56299</v>
      </c>
      <c r="H6240" t="s">
        <v>4612</v>
      </c>
    </row>
    <row r="6241" spans="3:8" x14ac:dyDescent="0.2">
      <c r="F6241" t="str">
        <f>"56299.0"</f>
        <v>56299.0</v>
      </c>
      <c r="H6241" t="s">
        <v>4613</v>
      </c>
    </row>
    <row r="6242" spans="3:8" x14ac:dyDescent="0.2">
      <c r="G6242" t="str">
        <f>"56299.00"</f>
        <v>56299.00</v>
      </c>
      <c r="H6242" t="s">
        <v>4613</v>
      </c>
    </row>
    <row r="6243" spans="3:8" x14ac:dyDescent="0.2">
      <c r="C6243" t="str">
        <f>"563"</f>
        <v>563</v>
      </c>
      <c r="H6243" t="s">
        <v>4614</v>
      </c>
    </row>
    <row r="6244" spans="3:8" x14ac:dyDescent="0.2">
      <c r="D6244" t="str">
        <f>"5630"</f>
        <v>5630</v>
      </c>
      <c r="H6244" t="s">
        <v>4614</v>
      </c>
    </row>
    <row r="6245" spans="3:8" x14ac:dyDescent="0.2">
      <c r="E6245" t="str">
        <f>"56301"</f>
        <v>56301</v>
      </c>
      <c r="H6245" t="s">
        <v>4615</v>
      </c>
    </row>
    <row r="6246" spans="3:8" x14ac:dyDescent="0.2">
      <c r="F6246" t="str">
        <f>"56301.0"</f>
        <v>56301.0</v>
      </c>
      <c r="H6246" t="s">
        <v>4615</v>
      </c>
    </row>
    <row r="6247" spans="3:8" x14ac:dyDescent="0.2">
      <c r="G6247" t="str">
        <f>"56301.00"</f>
        <v>56301.00</v>
      </c>
      <c r="H6247" t="s">
        <v>4615</v>
      </c>
    </row>
    <row r="6248" spans="3:8" x14ac:dyDescent="0.2">
      <c r="E6248" t="str">
        <f>"56302"</f>
        <v>56302</v>
      </c>
      <c r="H6248" t="s">
        <v>4616</v>
      </c>
    </row>
    <row r="6249" spans="3:8" x14ac:dyDescent="0.2">
      <c r="F6249" t="str">
        <f>"56302.0"</f>
        <v>56302.0</v>
      </c>
      <c r="H6249" t="s">
        <v>4616</v>
      </c>
    </row>
    <row r="6250" spans="3:8" x14ac:dyDescent="0.2">
      <c r="G6250" t="str">
        <f>"56302.00"</f>
        <v>56302.00</v>
      </c>
      <c r="H6250" t="s">
        <v>4617</v>
      </c>
    </row>
    <row r="6251" spans="3:8" x14ac:dyDescent="0.2">
      <c r="E6251" t="str">
        <f>"56303"</f>
        <v>56303</v>
      </c>
      <c r="H6251" t="s">
        <v>4618</v>
      </c>
    </row>
    <row r="6252" spans="3:8" x14ac:dyDescent="0.2">
      <c r="F6252" t="str">
        <f>"56303.0"</f>
        <v>56303.0</v>
      </c>
      <c r="H6252" t="s">
        <v>4618</v>
      </c>
    </row>
    <row r="6253" spans="3:8" x14ac:dyDescent="0.2">
      <c r="G6253" t="str">
        <f>"56303.00"</f>
        <v>56303.00</v>
      </c>
      <c r="H6253" t="s">
        <v>4618</v>
      </c>
    </row>
    <row r="6254" spans="3:8" x14ac:dyDescent="0.2">
      <c r="E6254" t="str">
        <f>"56304"</f>
        <v>56304</v>
      </c>
      <c r="H6254" t="s">
        <v>4619</v>
      </c>
    </row>
    <row r="6255" spans="3:8" x14ac:dyDescent="0.2">
      <c r="F6255" t="str">
        <f>"56304.0"</f>
        <v>56304.0</v>
      </c>
      <c r="H6255" t="s">
        <v>4619</v>
      </c>
    </row>
    <row r="6256" spans="3:8" x14ac:dyDescent="0.2">
      <c r="G6256" t="str">
        <f>"56304.00"</f>
        <v>56304.00</v>
      </c>
      <c r="H6256" t="s">
        <v>4619</v>
      </c>
    </row>
    <row r="6257" spans="1:8" x14ac:dyDescent="0.2">
      <c r="A6257" t="s">
        <v>4620</v>
      </c>
      <c r="H6257" t="s">
        <v>4621</v>
      </c>
    </row>
    <row r="6258" spans="1:8" x14ac:dyDescent="0.2">
      <c r="B6258" t="str">
        <f>"58"</f>
        <v>58</v>
      </c>
      <c r="H6258" t="s">
        <v>4622</v>
      </c>
    </row>
    <row r="6259" spans="1:8" x14ac:dyDescent="0.2">
      <c r="C6259" t="str">
        <f>"581"</f>
        <v>581</v>
      </c>
      <c r="H6259" t="s">
        <v>4623</v>
      </c>
    </row>
    <row r="6260" spans="1:8" x14ac:dyDescent="0.2">
      <c r="D6260" t="str">
        <f>"5811"</f>
        <v>5811</v>
      </c>
      <c r="H6260" t="s">
        <v>4624</v>
      </c>
    </row>
    <row r="6261" spans="1:8" x14ac:dyDescent="0.2">
      <c r="E6261" t="str">
        <f>"58111"</f>
        <v>58111</v>
      </c>
      <c r="H6261" t="s">
        <v>4625</v>
      </c>
    </row>
    <row r="6262" spans="1:8" x14ac:dyDescent="0.2">
      <c r="F6262" t="str">
        <f>"58111.1"</f>
        <v>58111.1</v>
      </c>
      <c r="H6262" t="s">
        <v>4626</v>
      </c>
    </row>
    <row r="6263" spans="1:8" x14ac:dyDescent="0.2">
      <c r="G6263" t="str">
        <f>"58111.11"</f>
        <v>58111.11</v>
      </c>
      <c r="H6263" t="s">
        <v>4627</v>
      </c>
    </row>
    <row r="6264" spans="1:8" x14ac:dyDescent="0.2">
      <c r="G6264" t="str">
        <f>"58111.12"</f>
        <v>58111.12</v>
      </c>
      <c r="H6264" t="s">
        <v>4628</v>
      </c>
    </row>
    <row r="6265" spans="1:8" x14ac:dyDescent="0.2">
      <c r="G6265" t="str">
        <f>"58111.13"</f>
        <v>58111.13</v>
      </c>
      <c r="H6265" t="s">
        <v>4629</v>
      </c>
    </row>
    <row r="6266" spans="1:8" x14ac:dyDescent="0.2">
      <c r="G6266" t="str">
        <f>"58111.14"</f>
        <v>58111.14</v>
      </c>
      <c r="H6266" t="s">
        <v>4630</v>
      </c>
    </row>
    <row r="6267" spans="1:8" x14ac:dyDescent="0.2">
      <c r="G6267" t="str">
        <f>"58111.15"</f>
        <v>58111.15</v>
      </c>
      <c r="H6267" t="s">
        <v>4631</v>
      </c>
    </row>
    <row r="6268" spans="1:8" x14ac:dyDescent="0.2">
      <c r="F6268" t="str">
        <f>"58111.2"</f>
        <v>58111.2</v>
      </c>
      <c r="H6268" t="s">
        <v>4632</v>
      </c>
    </row>
    <row r="6269" spans="1:8" x14ac:dyDescent="0.2">
      <c r="G6269" t="str">
        <f>"58111.21"</f>
        <v>58111.21</v>
      </c>
      <c r="H6269" t="s">
        <v>4633</v>
      </c>
    </row>
    <row r="6270" spans="1:8" x14ac:dyDescent="0.2">
      <c r="G6270" t="str">
        <f>"58111.22"</f>
        <v>58111.22</v>
      </c>
      <c r="H6270" t="s">
        <v>4634</v>
      </c>
    </row>
    <row r="6271" spans="1:8" x14ac:dyDescent="0.2">
      <c r="F6271" t="str">
        <f>"58111.3"</f>
        <v>58111.3</v>
      </c>
      <c r="H6271" t="s">
        <v>4635</v>
      </c>
    </row>
    <row r="6272" spans="1:8" x14ac:dyDescent="0.2">
      <c r="G6272" t="str">
        <f>"58111.30"</f>
        <v>58111.30</v>
      </c>
      <c r="H6272" t="s">
        <v>4635</v>
      </c>
    </row>
    <row r="6273" spans="5:8" x14ac:dyDescent="0.2">
      <c r="E6273" t="str">
        <f>"58112"</f>
        <v>58112</v>
      </c>
      <c r="H6273" t="s">
        <v>4636</v>
      </c>
    </row>
    <row r="6274" spans="5:8" x14ac:dyDescent="0.2">
      <c r="F6274" t="str">
        <f>"58112.1"</f>
        <v>58112.1</v>
      </c>
      <c r="H6274" t="s">
        <v>4637</v>
      </c>
    </row>
    <row r="6275" spans="5:8" x14ac:dyDescent="0.2">
      <c r="G6275" t="str">
        <f>"58112.11"</f>
        <v>58112.11</v>
      </c>
      <c r="H6275" t="s">
        <v>4638</v>
      </c>
    </row>
    <row r="6276" spans="5:8" x14ac:dyDescent="0.2">
      <c r="G6276" t="str">
        <f>"58112.12"</f>
        <v>58112.12</v>
      </c>
      <c r="H6276" t="s">
        <v>4639</v>
      </c>
    </row>
    <row r="6277" spans="5:8" x14ac:dyDescent="0.2">
      <c r="G6277" t="str">
        <f>"58112.13"</f>
        <v>58112.13</v>
      </c>
      <c r="H6277" t="s">
        <v>4640</v>
      </c>
    </row>
    <row r="6278" spans="5:8" x14ac:dyDescent="0.2">
      <c r="G6278" t="str">
        <f>"58112.14"</f>
        <v>58112.14</v>
      </c>
      <c r="H6278" t="s">
        <v>4641</v>
      </c>
    </row>
    <row r="6279" spans="5:8" x14ac:dyDescent="0.2">
      <c r="F6279" t="str">
        <f>"58112.2"</f>
        <v>58112.2</v>
      </c>
      <c r="H6279" t="s">
        <v>4642</v>
      </c>
    </row>
    <row r="6280" spans="5:8" x14ac:dyDescent="0.2">
      <c r="G6280" t="str">
        <f>"58112.21"</f>
        <v>58112.21</v>
      </c>
      <c r="H6280" t="s">
        <v>4643</v>
      </c>
    </row>
    <row r="6281" spans="5:8" x14ac:dyDescent="0.2">
      <c r="G6281" t="str">
        <f>"58112.22"</f>
        <v>58112.22</v>
      </c>
      <c r="H6281" t="s">
        <v>4644</v>
      </c>
    </row>
    <row r="6282" spans="5:8" x14ac:dyDescent="0.2">
      <c r="F6282" t="str">
        <f>"58112.3"</f>
        <v>58112.3</v>
      </c>
      <c r="H6282" t="s">
        <v>4645</v>
      </c>
    </row>
    <row r="6283" spans="5:8" x14ac:dyDescent="0.2">
      <c r="G6283" t="str">
        <f>"58112.30"</f>
        <v>58112.30</v>
      </c>
      <c r="H6283" t="s">
        <v>4645</v>
      </c>
    </row>
    <row r="6284" spans="5:8" x14ac:dyDescent="0.2">
      <c r="E6284" t="str">
        <f>"58113"</f>
        <v>58113</v>
      </c>
      <c r="H6284" t="s">
        <v>4646</v>
      </c>
    </row>
    <row r="6285" spans="5:8" x14ac:dyDescent="0.2">
      <c r="F6285" t="str">
        <f>"58113.1"</f>
        <v>58113.1</v>
      </c>
      <c r="H6285" t="s">
        <v>4647</v>
      </c>
    </row>
    <row r="6286" spans="5:8" x14ac:dyDescent="0.2">
      <c r="G6286" t="str">
        <f>"58113.10"</f>
        <v>58113.10</v>
      </c>
      <c r="H6286" t="s">
        <v>4647</v>
      </c>
    </row>
    <row r="6287" spans="5:8" x14ac:dyDescent="0.2">
      <c r="F6287" t="str">
        <f>"58113.2"</f>
        <v>58113.2</v>
      </c>
      <c r="H6287" t="s">
        <v>4648</v>
      </c>
    </row>
    <row r="6288" spans="5:8" x14ac:dyDescent="0.2">
      <c r="G6288" t="str">
        <f>"58113.20"</f>
        <v>58113.20</v>
      </c>
      <c r="H6288" t="s">
        <v>4648</v>
      </c>
    </row>
    <row r="6289" spans="4:8" x14ac:dyDescent="0.2">
      <c r="F6289" t="str">
        <f>"58113.3"</f>
        <v>58113.3</v>
      </c>
      <c r="H6289" t="s">
        <v>4649</v>
      </c>
    </row>
    <row r="6290" spans="4:8" x14ac:dyDescent="0.2">
      <c r="G6290" t="str">
        <f>"58113.30"</f>
        <v>58113.30</v>
      </c>
      <c r="H6290" t="s">
        <v>4649</v>
      </c>
    </row>
    <row r="6291" spans="4:8" x14ac:dyDescent="0.2">
      <c r="E6291" t="str">
        <f>"58114"</f>
        <v>58114</v>
      </c>
      <c r="H6291" t="s">
        <v>4650</v>
      </c>
    </row>
    <row r="6292" spans="4:8" x14ac:dyDescent="0.2">
      <c r="F6292" t="str">
        <f>"58114.0"</f>
        <v>58114.0</v>
      </c>
      <c r="H6292" t="s">
        <v>4651</v>
      </c>
    </row>
    <row r="6293" spans="4:8" x14ac:dyDescent="0.2">
      <c r="G6293" t="str">
        <f>"58114.00"</f>
        <v>58114.00</v>
      </c>
      <c r="H6293" t="s">
        <v>4651</v>
      </c>
    </row>
    <row r="6294" spans="4:8" x14ac:dyDescent="0.2">
      <c r="D6294" t="str">
        <f>"5812"</f>
        <v>5812</v>
      </c>
      <c r="H6294" t="s">
        <v>4652</v>
      </c>
    </row>
    <row r="6295" spans="4:8" x14ac:dyDescent="0.2">
      <c r="E6295" t="str">
        <f>"58121"</f>
        <v>58121</v>
      </c>
      <c r="H6295" t="s">
        <v>4653</v>
      </c>
    </row>
    <row r="6296" spans="4:8" x14ac:dyDescent="0.2">
      <c r="F6296" t="str">
        <f>"58121.1"</f>
        <v>58121.1</v>
      </c>
      <c r="H6296" t="s">
        <v>4654</v>
      </c>
    </row>
    <row r="6297" spans="4:8" x14ac:dyDescent="0.2">
      <c r="G6297" t="str">
        <f>"58121.11"</f>
        <v>58121.11</v>
      </c>
      <c r="H6297" t="s">
        <v>4655</v>
      </c>
    </row>
    <row r="6298" spans="4:8" x14ac:dyDescent="0.2">
      <c r="G6298" t="str">
        <f>"58121.12"</f>
        <v>58121.12</v>
      </c>
      <c r="H6298" t="s">
        <v>4656</v>
      </c>
    </row>
    <row r="6299" spans="4:8" x14ac:dyDescent="0.2">
      <c r="F6299" t="str">
        <f>"58121.2"</f>
        <v>58121.2</v>
      </c>
      <c r="H6299" t="s">
        <v>4657</v>
      </c>
    </row>
    <row r="6300" spans="4:8" x14ac:dyDescent="0.2">
      <c r="G6300" t="str">
        <f>"58121.20"</f>
        <v>58121.20</v>
      </c>
      <c r="H6300" t="s">
        <v>4657</v>
      </c>
    </row>
    <row r="6301" spans="4:8" x14ac:dyDescent="0.2">
      <c r="F6301" t="str">
        <f>"58121.3"</f>
        <v>58121.3</v>
      </c>
      <c r="H6301" t="s">
        <v>4658</v>
      </c>
    </row>
    <row r="6302" spans="4:8" x14ac:dyDescent="0.2">
      <c r="G6302" t="str">
        <f>"58121.30"</f>
        <v>58121.30</v>
      </c>
      <c r="H6302" t="s">
        <v>4658</v>
      </c>
    </row>
    <row r="6303" spans="4:8" x14ac:dyDescent="0.2">
      <c r="E6303" t="str">
        <f>"58122"</f>
        <v>58122</v>
      </c>
      <c r="H6303" t="s">
        <v>4659</v>
      </c>
    </row>
    <row r="6304" spans="4:8" x14ac:dyDescent="0.2">
      <c r="F6304" t="str">
        <f>"58122.1"</f>
        <v>58122.1</v>
      </c>
      <c r="H6304" t="s">
        <v>4660</v>
      </c>
    </row>
    <row r="6305" spans="4:8" x14ac:dyDescent="0.2">
      <c r="G6305" t="str">
        <f>"58122.10"</f>
        <v>58122.10</v>
      </c>
      <c r="H6305" t="s">
        <v>4660</v>
      </c>
    </row>
    <row r="6306" spans="4:8" x14ac:dyDescent="0.2">
      <c r="F6306" t="str">
        <f>"58122.2"</f>
        <v>58122.2</v>
      </c>
      <c r="H6306" t="s">
        <v>4661</v>
      </c>
    </row>
    <row r="6307" spans="4:8" x14ac:dyDescent="0.2">
      <c r="G6307" t="str">
        <f>"58122.20"</f>
        <v>58122.20</v>
      </c>
      <c r="H6307" t="s">
        <v>4661</v>
      </c>
    </row>
    <row r="6308" spans="4:8" x14ac:dyDescent="0.2">
      <c r="F6308" t="str">
        <f>"58122.3"</f>
        <v>58122.3</v>
      </c>
      <c r="H6308" t="s">
        <v>4662</v>
      </c>
    </row>
    <row r="6309" spans="4:8" x14ac:dyDescent="0.2">
      <c r="G6309" t="str">
        <f>"58122.30"</f>
        <v>58122.30</v>
      </c>
      <c r="H6309" t="s">
        <v>4662</v>
      </c>
    </row>
    <row r="6310" spans="4:8" x14ac:dyDescent="0.2">
      <c r="F6310" t="str">
        <f>"58122.4"</f>
        <v>58122.4</v>
      </c>
      <c r="H6310" t="s">
        <v>4663</v>
      </c>
    </row>
    <row r="6311" spans="4:8" x14ac:dyDescent="0.2">
      <c r="G6311" t="str">
        <f>"58122.40"</f>
        <v>58122.40</v>
      </c>
      <c r="H6311" t="s">
        <v>4663</v>
      </c>
    </row>
    <row r="6312" spans="4:8" x14ac:dyDescent="0.2">
      <c r="D6312" t="str">
        <f>"5813"</f>
        <v>5813</v>
      </c>
      <c r="H6312" t="s">
        <v>4664</v>
      </c>
    </row>
    <row r="6313" spans="4:8" x14ac:dyDescent="0.2">
      <c r="E6313" t="str">
        <f>"58131"</f>
        <v>58131</v>
      </c>
      <c r="H6313" t="s">
        <v>4665</v>
      </c>
    </row>
    <row r="6314" spans="4:8" x14ac:dyDescent="0.2">
      <c r="F6314" t="str">
        <f>"58131.1"</f>
        <v>58131.1</v>
      </c>
      <c r="H6314" t="s">
        <v>4666</v>
      </c>
    </row>
    <row r="6315" spans="4:8" x14ac:dyDescent="0.2">
      <c r="G6315" t="str">
        <f>"58131.10"</f>
        <v>58131.10</v>
      </c>
      <c r="H6315" t="s">
        <v>4666</v>
      </c>
    </row>
    <row r="6316" spans="4:8" x14ac:dyDescent="0.2">
      <c r="F6316" t="str">
        <f>"58131.2"</f>
        <v>58131.2</v>
      </c>
      <c r="H6316" t="s">
        <v>4667</v>
      </c>
    </row>
    <row r="6317" spans="4:8" x14ac:dyDescent="0.2">
      <c r="G6317" t="str">
        <f>"58131.20"</f>
        <v>58131.20</v>
      </c>
      <c r="H6317" t="s">
        <v>4667</v>
      </c>
    </row>
    <row r="6318" spans="4:8" x14ac:dyDescent="0.2">
      <c r="F6318" t="str">
        <f>"58131.3"</f>
        <v>58131.3</v>
      </c>
      <c r="H6318" t="s">
        <v>4668</v>
      </c>
    </row>
    <row r="6319" spans="4:8" x14ac:dyDescent="0.2">
      <c r="G6319" t="str">
        <f>"58131.30"</f>
        <v>58131.30</v>
      </c>
      <c r="H6319" t="s">
        <v>4668</v>
      </c>
    </row>
    <row r="6320" spans="4:8" x14ac:dyDescent="0.2">
      <c r="E6320" t="str">
        <f>"58132"</f>
        <v>58132</v>
      </c>
      <c r="H6320" t="s">
        <v>4669</v>
      </c>
    </row>
    <row r="6321" spans="5:8" x14ac:dyDescent="0.2">
      <c r="F6321" t="str">
        <f>"58132.1"</f>
        <v>58132.1</v>
      </c>
      <c r="H6321" t="s">
        <v>4670</v>
      </c>
    </row>
    <row r="6322" spans="5:8" x14ac:dyDescent="0.2">
      <c r="G6322" t="str">
        <f>"58132.11"</f>
        <v>58132.11</v>
      </c>
      <c r="H6322" t="s">
        <v>4671</v>
      </c>
    </row>
    <row r="6323" spans="5:8" x14ac:dyDescent="0.2">
      <c r="G6323" t="str">
        <f>"58132.12"</f>
        <v>58132.12</v>
      </c>
      <c r="H6323" t="s">
        <v>4672</v>
      </c>
    </row>
    <row r="6324" spans="5:8" x14ac:dyDescent="0.2">
      <c r="G6324" t="str">
        <f>"58132.13"</f>
        <v>58132.13</v>
      </c>
      <c r="H6324" t="s">
        <v>4673</v>
      </c>
    </row>
    <row r="6325" spans="5:8" x14ac:dyDescent="0.2">
      <c r="F6325" t="str">
        <f>"58132.2"</f>
        <v>58132.2</v>
      </c>
      <c r="H6325" t="s">
        <v>4674</v>
      </c>
    </row>
    <row r="6326" spans="5:8" x14ac:dyDescent="0.2">
      <c r="G6326" t="str">
        <f>"58132.20"</f>
        <v>58132.20</v>
      </c>
      <c r="H6326" t="s">
        <v>4674</v>
      </c>
    </row>
    <row r="6327" spans="5:8" x14ac:dyDescent="0.2">
      <c r="F6327" t="str">
        <f>"58132.3"</f>
        <v>58132.3</v>
      </c>
      <c r="H6327" t="s">
        <v>4675</v>
      </c>
    </row>
    <row r="6328" spans="5:8" x14ac:dyDescent="0.2">
      <c r="G6328" t="str">
        <f>"58132.30"</f>
        <v>58132.30</v>
      </c>
      <c r="H6328" t="s">
        <v>4675</v>
      </c>
    </row>
    <row r="6329" spans="5:8" x14ac:dyDescent="0.2">
      <c r="E6329" t="str">
        <f>"58133"</f>
        <v>58133</v>
      </c>
      <c r="H6329" t="s">
        <v>4676</v>
      </c>
    </row>
    <row r="6330" spans="5:8" x14ac:dyDescent="0.2">
      <c r="F6330" t="str">
        <f>"58133.1"</f>
        <v>58133.1</v>
      </c>
      <c r="H6330" t="s">
        <v>4677</v>
      </c>
    </row>
    <row r="6331" spans="5:8" x14ac:dyDescent="0.2">
      <c r="G6331" t="str">
        <f>"58133.11"</f>
        <v>58133.11</v>
      </c>
      <c r="H6331" t="s">
        <v>4678</v>
      </c>
    </row>
    <row r="6332" spans="5:8" x14ac:dyDescent="0.2">
      <c r="G6332" t="str">
        <f>"58133.12"</f>
        <v>58133.12</v>
      </c>
      <c r="H6332" t="s">
        <v>4679</v>
      </c>
    </row>
    <row r="6333" spans="5:8" x14ac:dyDescent="0.2">
      <c r="F6333" t="str">
        <f>"58133.2"</f>
        <v>58133.2</v>
      </c>
      <c r="H6333" t="s">
        <v>4680</v>
      </c>
    </row>
    <row r="6334" spans="5:8" x14ac:dyDescent="0.2">
      <c r="G6334" t="str">
        <f>"58133.21"</f>
        <v>58133.21</v>
      </c>
      <c r="H6334" t="s">
        <v>4681</v>
      </c>
    </row>
    <row r="6335" spans="5:8" x14ac:dyDescent="0.2">
      <c r="G6335" t="str">
        <f>"58133.22"</f>
        <v>58133.22</v>
      </c>
      <c r="H6335" t="s">
        <v>4682</v>
      </c>
    </row>
    <row r="6336" spans="5:8" x14ac:dyDescent="0.2">
      <c r="F6336" t="str">
        <f>"58133.3"</f>
        <v>58133.3</v>
      </c>
      <c r="H6336" t="s">
        <v>4683</v>
      </c>
    </row>
    <row r="6337" spans="4:8" x14ac:dyDescent="0.2">
      <c r="G6337" t="str">
        <f>"58133.30"</f>
        <v>58133.30</v>
      </c>
      <c r="H6337" t="s">
        <v>4683</v>
      </c>
    </row>
    <row r="6338" spans="4:8" x14ac:dyDescent="0.2">
      <c r="E6338" t="str">
        <f>"58134"</f>
        <v>58134</v>
      </c>
      <c r="H6338" t="s">
        <v>4684</v>
      </c>
    </row>
    <row r="6339" spans="4:8" x14ac:dyDescent="0.2">
      <c r="F6339" t="str">
        <f>"58134.0"</f>
        <v>58134.0</v>
      </c>
      <c r="H6339" t="s">
        <v>4685</v>
      </c>
    </row>
    <row r="6340" spans="4:8" x14ac:dyDescent="0.2">
      <c r="G6340" t="str">
        <f>"58134.00"</f>
        <v>58134.00</v>
      </c>
      <c r="H6340" t="s">
        <v>4685</v>
      </c>
    </row>
    <row r="6341" spans="4:8" x14ac:dyDescent="0.2">
      <c r="D6341" t="str">
        <f>"5819"</f>
        <v>5819</v>
      </c>
      <c r="H6341" t="s">
        <v>4686</v>
      </c>
    </row>
    <row r="6342" spans="4:8" x14ac:dyDescent="0.2">
      <c r="E6342" t="str">
        <f>"58191"</f>
        <v>58191</v>
      </c>
      <c r="H6342" t="s">
        <v>4687</v>
      </c>
    </row>
    <row r="6343" spans="4:8" x14ac:dyDescent="0.2">
      <c r="F6343" t="str">
        <f>"58191.1"</f>
        <v>58191.1</v>
      </c>
      <c r="H6343" t="s">
        <v>4688</v>
      </c>
    </row>
    <row r="6344" spans="4:8" x14ac:dyDescent="0.2">
      <c r="G6344" t="str">
        <f>"58191.11"</f>
        <v>58191.11</v>
      </c>
      <c r="H6344" t="s">
        <v>4689</v>
      </c>
    </row>
    <row r="6345" spans="4:8" x14ac:dyDescent="0.2">
      <c r="G6345" t="str">
        <f>"58191.12"</f>
        <v>58191.12</v>
      </c>
      <c r="H6345" t="s">
        <v>4690</v>
      </c>
    </row>
    <row r="6346" spans="4:8" x14ac:dyDescent="0.2">
      <c r="G6346" t="str">
        <f>"58191.13"</f>
        <v>58191.13</v>
      </c>
      <c r="H6346" t="s">
        <v>4691</v>
      </c>
    </row>
    <row r="6347" spans="4:8" x14ac:dyDescent="0.2">
      <c r="G6347" t="str">
        <f>"58191.14"</f>
        <v>58191.14</v>
      </c>
      <c r="H6347" t="s">
        <v>4692</v>
      </c>
    </row>
    <row r="6348" spans="4:8" x14ac:dyDescent="0.2">
      <c r="G6348" t="str">
        <f>"58191.15"</f>
        <v>58191.15</v>
      </c>
      <c r="H6348" t="s">
        <v>4693</v>
      </c>
    </row>
    <row r="6349" spans="4:8" x14ac:dyDescent="0.2">
      <c r="G6349" t="str">
        <f>"58191.19"</f>
        <v>58191.19</v>
      </c>
      <c r="H6349" t="s">
        <v>4688</v>
      </c>
    </row>
    <row r="6350" spans="4:8" x14ac:dyDescent="0.2">
      <c r="F6350" t="str">
        <f>"58191.2"</f>
        <v>58191.2</v>
      </c>
      <c r="H6350" t="s">
        <v>4694</v>
      </c>
    </row>
    <row r="6351" spans="4:8" x14ac:dyDescent="0.2">
      <c r="G6351" t="str">
        <f>"58191.20"</f>
        <v>58191.20</v>
      </c>
      <c r="H6351" t="s">
        <v>4694</v>
      </c>
    </row>
    <row r="6352" spans="4:8" x14ac:dyDescent="0.2">
      <c r="F6352" t="str">
        <f>"58191.3"</f>
        <v>58191.3</v>
      </c>
      <c r="H6352" t="s">
        <v>4695</v>
      </c>
    </row>
    <row r="6353" spans="3:8" x14ac:dyDescent="0.2">
      <c r="G6353" t="str">
        <f>"58191.30"</f>
        <v>58191.30</v>
      </c>
      <c r="H6353" t="s">
        <v>4695</v>
      </c>
    </row>
    <row r="6354" spans="3:8" x14ac:dyDescent="0.2">
      <c r="E6354" t="str">
        <f>"58192"</f>
        <v>58192</v>
      </c>
      <c r="H6354" t="s">
        <v>4696</v>
      </c>
    </row>
    <row r="6355" spans="3:8" x14ac:dyDescent="0.2">
      <c r="F6355" t="str">
        <f>"58192.1"</f>
        <v>58192.1</v>
      </c>
      <c r="H6355" t="s">
        <v>4696</v>
      </c>
    </row>
    <row r="6356" spans="3:8" x14ac:dyDescent="0.2">
      <c r="G6356" t="str">
        <f>"58192.11"</f>
        <v>58192.11</v>
      </c>
      <c r="H6356" t="s">
        <v>4697</v>
      </c>
    </row>
    <row r="6357" spans="3:8" x14ac:dyDescent="0.2">
      <c r="G6357" t="str">
        <f>"58192.19"</f>
        <v>58192.19</v>
      </c>
      <c r="H6357" t="s">
        <v>4698</v>
      </c>
    </row>
    <row r="6358" spans="3:8" x14ac:dyDescent="0.2">
      <c r="F6358" t="str">
        <f>"58192.2"</f>
        <v>58192.2</v>
      </c>
      <c r="H6358" t="s">
        <v>4699</v>
      </c>
    </row>
    <row r="6359" spans="3:8" x14ac:dyDescent="0.2">
      <c r="G6359" t="str">
        <f>"58192.20"</f>
        <v>58192.20</v>
      </c>
      <c r="H6359" t="s">
        <v>4699</v>
      </c>
    </row>
    <row r="6360" spans="3:8" x14ac:dyDescent="0.2">
      <c r="F6360" t="str">
        <f>"58192.3"</f>
        <v>58192.3</v>
      </c>
      <c r="H6360" t="s">
        <v>4700</v>
      </c>
    </row>
    <row r="6361" spans="3:8" x14ac:dyDescent="0.2">
      <c r="G6361" t="str">
        <f>"58192.30"</f>
        <v>58192.30</v>
      </c>
      <c r="H6361" t="s">
        <v>4700</v>
      </c>
    </row>
    <row r="6362" spans="3:8" x14ac:dyDescent="0.2">
      <c r="E6362" t="str">
        <f>"58193"</f>
        <v>58193</v>
      </c>
      <c r="H6362" t="s">
        <v>4701</v>
      </c>
    </row>
    <row r="6363" spans="3:8" x14ac:dyDescent="0.2">
      <c r="F6363" t="str">
        <f>"58193.0"</f>
        <v>58193.0</v>
      </c>
      <c r="H6363" t="s">
        <v>4702</v>
      </c>
    </row>
    <row r="6364" spans="3:8" x14ac:dyDescent="0.2">
      <c r="G6364" t="str">
        <f>"58193.00"</f>
        <v>58193.00</v>
      </c>
      <c r="H6364" t="s">
        <v>4702</v>
      </c>
    </row>
    <row r="6365" spans="3:8" x14ac:dyDescent="0.2">
      <c r="C6365" t="str">
        <f>"582"</f>
        <v>582</v>
      </c>
      <c r="H6365" t="s">
        <v>4703</v>
      </c>
    </row>
    <row r="6366" spans="3:8" x14ac:dyDescent="0.2">
      <c r="D6366" t="str">
        <f>"5820"</f>
        <v>5820</v>
      </c>
      <c r="H6366" t="s">
        <v>4703</v>
      </c>
    </row>
    <row r="6367" spans="3:8" x14ac:dyDescent="0.2">
      <c r="E6367" t="str">
        <f>"58201"</f>
        <v>58201</v>
      </c>
      <c r="H6367" t="s">
        <v>4704</v>
      </c>
    </row>
    <row r="6368" spans="3:8" x14ac:dyDescent="0.2">
      <c r="F6368" t="str">
        <f>"58201.1"</f>
        <v>58201.1</v>
      </c>
      <c r="H6368" t="s">
        <v>4705</v>
      </c>
    </row>
    <row r="6369" spans="5:8" x14ac:dyDescent="0.2">
      <c r="G6369" t="str">
        <f>"58201.11"</f>
        <v>58201.11</v>
      </c>
      <c r="H6369" t="s">
        <v>4706</v>
      </c>
    </row>
    <row r="6370" spans="5:8" x14ac:dyDescent="0.2">
      <c r="G6370" t="str">
        <f>"58201.12"</f>
        <v>58201.12</v>
      </c>
      <c r="H6370" t="s">
        <v>4707</v>
      </c>
    </row>
    <row r="6371" spans="5:8" x14ac:dyDescent="0.2">
      <c r="G6371" t="str">
        <f>"58201.13"</f>
        <v>58201.13</v>
      </c>
      <c r="H6371" t="s">
        <v>4708</v>
      </c>
    </row>
    <row r="6372" spans="5:8" x14ac:dyDescent="0.2">
      <c r="G6372" t="str">
        <f>"58201.14"</f>
        <v>58201.14</v>
      </c>
      <c r="H6372" t="s">
        <v>4709</v>
      </c>
    </row>
    <row r="6373" spans="5:8" x14ac:dyDescent="0.2">
      <c r="F6373" t="str">
        <f>"58201.2"</f>
        <v>58201.2</v>
      </c>
      <c r="H6373" t="s">
        <v>4710</v>
      </c>
    </row>
    <row r="6374" spans="5:8" x14ac:dyDescent="0.2">
      <c r="G6374" t="str">
        <f>"58201.20"</f>
        <v>58201.20</v>
      </c>
      <c r="H6374" t="s">
        <v>4710</v>
      </c>
    </row>
    <row r="6375" spans="5:8" x14ac:dyDescent="0.2">
      <c r="E6375" t="str">
        <f>"58202"</f>
        <v>58202</v>
      </c>
      <c r="H6375" t="s">
        <v>4711</v>
      </c>
    </row>
    <row r="6376" spans="5:8" x14ac:dyDescent="0.2">
      <c r="F6376" t="str">
        <f>"58202.1"</f>
        <v>58202.1</v>
      </c>
      <c r="H6376" t="s">
        <v>4712</v>
      </c>
    </row>
    <row r="6377" spans="5:8" x14ac:dyDescent="0.2">
      <c r="G6377" t="str">
        <f>"58202.11"</f>
        <v>58202.11</v>
      </c>
      <c r="H6377" t="s">
        <v>4713</v>
      </c>
    </row>
    <row r="6378" spans="5:8" x14ac:dyDescent="0.2">
      <c r="G6378" t="str">
        <f>"58202.12"</f>
        <v>58202.12</v>
      </c>
      <c r="H6378" t="s">
        <v>4714</v>
      </c>
    </row>
    <row r="6379" spans="5:8" x14ac:dyDescent="0.2">
      <c r="G6379" t="str">
        <f>"58202.13"</f>
        <v>58202.13</v>
      </c>
      <c r="H6379" t="s">
        <v>4715</v>
      </c>
    </row>
    <row r="6380" spans="5:8" x14ac:dyDescent="0.2">
      <c r="G6380" t="str">
        <f>"58202.14"</f>
        <v>58202.14</v>
      </c>
      <c r="H6380" t="s">
        <v>4716</v>
      </c>
    </row>
    <row r="6381" spans="5:8" x14ac:dyDescent="0.2">
      <c r="F6381" t="str">
        <f>"58202.2"</f>
        <v>58202.2</v>
      </c>
      <c r="H6381" t="s">
        <v>4717</v>
      </c>
    </row>
    <row r="6382" spans="5:8" x14ac:dyDescent="0.2">
      <c r="G6382" t="str">
        <f>"58202.21"</f>
        <v>58202.21</v>
      </c>
      <c r="H6382" t="s">
        <v>4718</v>
      </c>
    </row>
    <row r="6383" spans="5:8" x14ac:dyDescent="0.2">
      <c r="G6383" t="str">
        <f>"58202.29"</f>
        <v>58202.29</v>
      </c>
      <c r="H6383" t="s">
        <v>4719</v>
      </c>
    </row>
    <row r="6384" spans="5:8" x14ac:dyDescent="0.2">
      <c r="F6384" t="str">
        <f>"58202.3"</f>
        <v>58202.3</v>
      </c>
      <c r="H6384" t="s">
        <v>4720</v>
      </c>
    </row>
    <row r="6385" spans="2:8" x14ac:dyDescent="0.2">
      <c r="G6385" t="str">
        <f>"58202.31"</f>
        <v>58202.31</v>
      </c>
      <c r="H6385" t="s">
        <v>4721</v>
      </c>
    </row>
    <row r="6386" spans="2:8" x14ac:dyDescent="0.2">
      <c r="G6386" t="str">
        <f>"58202.32"</f>
        <v>58202.32</v>
      </c>
      <c r="H6386" t="s">
        <v>4722</v>
      </c>
    </row>
    <row r="6387" spans="2:8" x14ac:dyDescent="0.2">
      <c r="F6387" t="str">
        <f>"58202.4"</f>
        <v>58202.4</v>
      </c>
      <c r="H6387" t="s">
        <v>4723</v>
      </c>
    </row>
    <row r="6388" spans="2:8" x14ac:dyDescent="0.2">
      <c r="G6388" t="str">
        <f>"58202.40"</f>
        <v>58202.40</v>
      </c>
      <c r="H6388" t="s">
        <v>4723</v>
      </c>
    </row>
    <row r="6389" spans="2:8" x14ac:dyDescent="0.2">
      <c r="F6389" t="str">
        <f>"58202.5"</f>
        <v>58202.5</v>
      </c>
      <c r="H6389" t="s">
        <v>4724</v>
      </c>
    </row>
    <row r="6390" spans="2:8" x14ac:dyDescent="0.2">
      <c r="G6390" t="str">
        <f>"58202.50"</f>
        <v>58202.50</v>
      </c>
      <c r="H6390" t="s">
        <v>4724</v>
      </c>
    </row>
    <row r="6391" spans="2:8" x14ac:dyDescent="0.2">
      <c r="E6391" t="str">
        <f>"58203"</f>
        <v>58203</v>
      </c>
      <c r="H6391" t="s">
        <v>4725</v>
      </c>
    </row>
    <row r="6392" spans="2:8" x14ac:dyDescent="0.2">
      <c r="F6392" t="str">
        <f>"58203.0"</f>
        <v>58203.0</v>
      </c>
      <c r="H6392" t="s">
        <v>4726</v>
      </c>
    </row>
    <row r="6393" spans="2:8" x14ac:dyDescent="0.2">
      <c r="G6393" t="str">
        <f>"58203.01"</f>
        <v>58203.01</v>
      </c>
      <c r="H6393" t="s">
        <v>4727</v>
      </c>
    </row>
    <row r="6394" spans="2:8" x14ac:dyDescent="0.2">
      <c r="G6394" t="str">
        <f>"58203.02"</f>
        <v>58203.02</v>
      </c>
      <c r="H6394" t="s">
        <v>4728</v>
      </c>
    </row>
    <row r="6395" spans="2:8" x14ac:dyDescent="0.2">
      <c r="B6395" t="str">
        <f>"59"</f>
        <v>59</v>
      </c>
      <c r="H6395" t="s">
        <v>4729</v>
      </c>
    </row>
    <row r="6396" spans="2:8" x14ac:dyDescent="0.2">
      <c r="C6396" t="str">
        <f>"591"</f>
        <v>591</v>
      </c>
      <c r="H6396" t="s">
        <v>4730</v>
      </c>
    </row>
    <row r="6397" spans="2:8" x14ac:dyDescent="0.2">
      <c r="D6397" t="str">
        <f>"5911"</f>
        <v>5911</v>
      </c>
      <c r="H6397" t="s">
        <v>4731</v>
      </c>
    </row>
    <row r="6398" spans="2:8" x14ac:dyDescent="0.2">
      <c r="E6398" t="str">
        <f>"59111"</f>
        <v>59111</v>
      </c>
      <c r="H6398" t="s">
        <v>4732</v>
      </c>
    </row>
    <row r="6399" spans="2:8" x14ac:dyDescent="0.2">
      <c r="F6399" t="str">
        <f>"59111.1"</f>
        <v>59111.1</v>
      </c>
      <c r="H6399" t="s">
        <v>4732</v>
      </c>
    </row>
    <row r="6400" spans="2:8" x14ac:dyDescent="0.2">
      <c r="G6400" t="str">
        <f>"59111.11"</f>
        <v>59111.11</v>
      </c>
      <c r="H6400" t="s">
        <v>4733</v>
      </c>
    </row>
    <row r="6401" spans="5:8" x14ac:dyDescent="0.2">
      <c r="G6401" t="str">
        <f>"59111.12"</f>
        <v>59111.12</v>
      </c>
      <c r="H6401" t="s">
        <v>4734</v>
      </c>
    </row>
    <row r="6402" spans="5:8" x14ac:dyDescent="0.2">
      <c r="F6402" t="str">
        <f>"59111.2"</f>
        <v>59111.2</v>
      </c>
      <c r="H6402" t="s">
        <v>4735</v>
      </c>
    </row>
    <row r="6403" spans="5:8" x14ac:dyDescent="0.2">
      <c r="G6403" t="str">
        <f>"59111.21"</f>
        <v>59111.21</v>
      </c>
      <c r="H6403" t="s">
        <v>4736</v>
      </c>
    </row>
    <row r="6404" spans="5:8" x14ac:dyDescent="0.2">
      <c r="G6404" t="str">
        <f>"59111.22"</f>
        <v>59111.22</v>
      </c>
      <c r="H6404" t="s">
        <v>4737</v>
      </c>
    </row>
    <row r="6405" spans="5:8" x14ac:dyDescent="0.2">
      <c r="G6405" t="str">
        <f>"59111.23"</f>
        <v>59111.23</v>
      </c>
      <c r="H6405" t="s">
        <v>4738</v>
      </c>
    </row>
    <row r="6406" spans="5:8" x14ac:dyDescent="0.2">
      <c r="G6406" t="str">
        <f>"59111.24"</f>
        <v>59111.24</v>
      </c>
      <c r="H6406" t="s">
        <v>4739</v>
      </c>
    </row>
    <row r="6407" spans="5:8" x14ac:dyDescent="0.2">
      <c r="F6407" t="str">
        <f>"59111.3"</f>
        <v>59111.3</v>
      </c>
      <c r="H6407" t="s">
        <v>4740</v>
      </c>
    </row>
    <row r="6408" spans="5:8" x14ac:dyDescent="0.2">
      <c r="G6408" t="str">
        <f>"59111.30"</f>
        <v>59111.30</v>
      </c>
      <c r="H6408" t="s">
        <v>4740</v>
      </c>
    </row>
    <row r="6409" spans="5:8" x14ac:dyDescent="0.2">
      <c r="E6409" t="str">
        <f>"59112"</f>
        <v>59112</v>
      </c>
      <c r="H6409" t="s">
        <v>4741</v>
      </c>
    </row>
    <row r="6410" spans="5:8" x14ac:dyDescent="0.2">
      <c r="F6410" t="str">
        <f>"59112.1"</f>
        <v>59112.1</v>
      </c>
      <c r="H6410" t="s">
        <v>4741</v>
      </c>
    </row>
    <row r="6411" spans="5:8" x14ac:dyDescent="0.2">
      <c r="G6411" t="str">
        <f>"59112.10"</f>
        <v>59112.10</v>
      </c>
      <c r="H6411" t="s">
        <v>4741</v>
      </c>
    </row>
    <row r="6412" spans="5:8" x14ac:dyDescent="0.2">
      <c r="F6412" t="str">
        <f>"59112.2"</f>
        <v>59112.2</v>
      </c>
      <c r="H6412" t="s">
        <v>4742</v>
      </c>
    </row>
    <row r="6413" spans="5:8" x14ac:dyDescent="0.2">
      <c r="G6413" t="str">
        <f>"59112.21"</f>
        <v>59112.21</v>
      </c>
      <c r="H6413" t="s">
        <v>4743</v>
      </c>
    </row>
    <row r="6414" spans="5:8" x14ac:dyDescent="0.2">
      <c r="G6414" t="str">
        <f>"59112.22"</f>
        <v>59112.22</v>
      </c>
      <c r="H6414" t="s">
        <v>4744</v>
      </c>
    </row>
    <row r="6415" spans="5:8" x14ac:dyDescent="0.2">
      <c r="G6415" t="str">
        <f>"59112.23"</f>
        <v>59112.23</v>
      </c>
      <c r="H6415" t="s">
        <v>4745</v>
      </c>
    </row>
    <row r="6416" spans="5:8" x14ac:dyDescent="0.2">
      <c r="F6416" t="str">
        <f>"59112.3"</f>
        <v>59112.3</v>
      </c>
      <c r="H6416" t="s">
        <v>4746</v>
      </c>
    </row>
    <row r="6417" spans="4:8" x14ac:dyDescent="0.2">
      <c r="G6417" t="str">
        <f>"59112.30"</f>
        <v>59112.30</v>
      </c>
      <c r="H6417" t="s">
        <v>4746</v>
      </c>
    </row>
    <row r="6418" spans="4:8" x14ac:dyDescent="0.2">
      <c r="D6418" t="str">
        <f>"5912"</f>
        <v>5912</v>
      </c>
      <c r="H6418" t="s">
        <v>4747</v>
      </c>
    </row>
    <row r="6419" spans="4:8" x14ac:dyDescent="0.2">
      <c r="E6419" t="str">
        <f>"59121"</f>
        <v>59121</v>
      </c>
      <c r="H6419" t="s">
        <v>4748</v>
      </c>
    </row>
    <row r="6420" spans="4:8" x14ac:dyDescent="0.2">
      <c r="F6420" t="str">
        <f>"59121.0"</f>
        <v>59121.0</v>
      </c>
      <c r="H6420" t="s">
        <v>4749</v>
      </c>
    </row>
    <row r="6421" spans="4:8" x14ac:dyDescent="0.2">
      <c r="G6421" t="str">
        <f>"59121.01"</f>
        <v>59121.01</v>
      </c>
      <c r="H6421" t="s">
        <v>4748</v>
      </c>
    </row>
    <row r="6422" spans="4:8" x14ac:dyDescent="0.2">
      <c r="G6422" t="str">
        <f>"59121.02"</f>
        <v>59121.02</v>
      </c>
      <c r="H6422" t="s">
        <v>4750</v>
      </c>
    </row>
    <row r="6423" spans="4:8" x14ac:dyDescent="0.2">
      <c r="E6423" t="str">
        <f>"59122"</f>
        <v>59122</v>
      </c>
      <c r="H6423" t="s">
        <v>4751</v>
      </c>
    </row>
    <row r="6424" spans="4:8" x14ac:dyDescent="0.2">
      <c r="F6424" t="str">
        <f>"59122.0"</f>
        <v>59122.0</v>
      </c>
      <c r="H6424" t="s">
        <v>4752</v>
      </c>
    </row>
    <row r="6425" spans="4:8" x14ac:dyDescent="0.2">
      <c r="G6425" t="str">
        <f>"59122.01"</f>
        <v>59122.01</v>
      </c>
      <c r="H6425" t="s">
        <v>4753</v>
      </c>
    </row>
    <row r="6426" spans="4:8" x14ac:dyDescent="0.2">
      <c r="G6426" t="str">
        <f>"59122.02"</f>
        <v>59122.02</v>
      </c>
      <c r="H6426" t="s">
        <v>4754</v>
      </c>
    </row>
    <row r="6427" spans="4:8" x14ac:dyDescent="0.2">
      <c r="G6427" t="str">
        <f>"59122.03"</f>
        <v>59122.03</v>
      </c>
      <c r="H6427" t="s">
        <v>4755</v>
      </c>
    </row>
    <row r="6428" spans="4:8" x14ac:dyDescent="0.2">
      <c r="E6428" t="str">
        <f>"59129"</f>
        <v>59129</v>
      </c>
      <c r="H6428" t="s">
        <v>4756</v>
      </c>
    </row>
    <row r="6429" spans="4:8" x14ac:dyDescent="0.2">
      <c r="F6429" t="str">
        <f>"59129.0"</f>
        <v>59129.0</v>
      </c>
      <c r="H6429" t="s">
        <v>4757</v>
      </c>
    </row>
    <row r="6430" spans="4:8" x14ac:dyDescent="0.2">
      <c r="G6430" t="str">
        <f>"59129.01"</f>
        <v>59129.01</v>
      </c>
      <c r="H6430" t="s">
        <v>4758</v>
      </c>
    </row>
    <row r="6431" spans="4:8" x14ac:dyDescent="0.2">
      <c r="G6431" t="str">
        <f>"59129.02"</f>
        <v>59129.02</v>
      </c>
      <c r="H6431" t="s">
        <v>4759</v>
      </c>
    </row>
    <row r="6432" spans="4:8" x14ac:dyDescent="0.2">
      <c r="G6432" t="str">
        <f>"59129.09"</f>
        <v>59129.09</v>
      </c>
      <c r="H6432" t="s">
        <v>4760</v>
      </c>
    </row>
    <row r="6433" spans="3:8" x14ac:dyDescent="0.2">
      <c r="D6433" t="str">
        <f>"5913"</f>
        <v>5913</v>
      </c>
      <c r="H6433" t="s">
        <v>4761</v>
      </c>
    </row>
    <row r="6434" spans="3:8" x14ac:dyDescent="0.2">
      <c r="E6434" t="str">
        <f>"59131"</f>
        <v>59131</v>
      </c>
      <c r="H6434" t="s">
        <v>4761</v>
      </c>
    </row>
    <row r="6435" spans="3:8" x14ac:dyDescent="0.2">
      <c r="F6435" t="str">
        <f>"59131.0"</f>
        <v>59131.0</v>
      </c>
      <c r="H6435" t="s">
        <v>4761</v>
      </c>
    </row>
    <row r="6436" spans="3:8" x14ac:dyDescent="0.2">
      <c r="G6436" t="str">
        <f>"59131.00"</f>
        <v>59131.00</v>
      </c>
      <c r="H6436" t="s">
        <v>4761</v>
      </c>
    </row>
    <row r="6437" spans="3:8" x14ac:dyDescent="0.2">
      <c r="E6437" t="str">
        <f>"59132"</f>
        <v>59132</v>
      </c>
      <c r="H6437" t="s">
        <v>4762</v>
      </c>
    </row>
    <row r="6438" spans="3:8" x14ac:dyDescent="0.2">
      <c r="F6438" t="str">
        <f>"59132.0"</f>
        <v>59132.0</v>
      </c>
      <c r="H6438" t="s">
        <v>4762</v>
      </c>
    </row>
    <row r="6439" spans="3:8" x14ac:dyDescent="0.2">
      <c r="G6439" t="str">
        <f>"59132.00"</f>
        <v>59132.00</v>
      </c>
      <c r="H6439" t="s">
        <v>4762</v>
      </c>
    </row>
    <row r="6440" spans="3:8" x14ac:dyDescent="0.2">
      <c r="D6440" t="str">
        <f>"5914"</f>
        <v>5914</v>
      </c>
      <c r="H6440" t="s">
        <v>4763</v>
      </c>
    </row>
    <row r="6441" spans="3:8" x14ac:dyDescent="0.2">
      <c r="E6441" t="str">
        <f>"59140"</f>
        <v>59140</v>
      </c>
      <c r="H6441" t="s">
        <v>4763</v>
      </c>
    </row>
    <row r="6442" spans="3:8" x14ac:dyDescent="0.2">
      <c r="F6442" t="str">
        <f>"59140.0"</f>
        <v>59140.0</v>
      </c>
      <c r="H6442" t="s">
        <v>4763</v>
      </c>
    </row>
    <row r="6443" spans="3:8" x14ac:dyDescent="0.2">
      <c r="G6443" t="str">
        <f>"59140.00"</f>
        <v>59140.00</v>
      </c>
      <c r="H6443" t="s">
        <v>4763</v>
      </c>
    </row>
    <row r="6444" spans="3:8" x14ac:dyDescent="0.2">
      <c r="C6444" t="str">
        <f>"592"</f>
        <v>592</v>
      </c>
      <c r="H6444" t="s">
        <v>4764</v>
      </c>
    </row>
    <row r="6445" spans="3:8" x14ac:dyDescent="0.2">
      <c r="D6445" t="str">
        <f>"5920"</f>
        <v>5920</v>
      </c>
      <c r="H6445" t="s">
        <v>4764</v>
      </c>
    </row>
    <row r="6446" spans="3:8" x14ac:dyDescent="0.2">
      <c r="E6446" t="str">
        <f>"59201"</f>
        <v>59201</v>
      </c>
      <c r="H6446" t="s">
        <v>4765</v>
      </c>
    </row>
    <row r="6447" spans="3:8" x14ac:dyDescent="0.2">
      <c r="F6447" t="str">
        <f>"59201.1"</f>
        <v>59201.1</v>
      </c>
      <c r="H6447" t="s">
        <v>4766</v>
      </c>
    </row>
    <row r="6448" spans="3:8" x14ac:dyDescent="0.2">
      <c r="G6448" t="str">
        <f>"59201.11"</f>
        <v>59201.11</v>
      </c>
      <c r="H6448" t="s">
        <v>4767</v>
      </c>
    </row>
    <row r="6449" spans="5:8" x14ac:dyDescent="0.2">
      <c r="G6449" t="str">
        <f>"59201.12"</f>
        <v>59201.12</v>
      </c>
      <c r="H6449" t="s">
        <v>4768</v>
      </c>
    </row>
    <row r="6450" spans="5:8" x14ac:dyDescent="0.2">
      <c r="G6450" t="str">
        <f>"59201.13"</f>
        <v>59201.13</v>
      </c>
      <c r="H6450" t="s">
        <v>4769</v>
      </c>
    </row>
    <row r="6451" spans="5:8" x14ac:dyDescent="0.2">
      <c r="F6451" t="str">
        <f>"59201.2"</f>
        <v>59201.2</v>
      </c>
      <c r="H6451" t="s">
        <v>4770</v>
      </c>
    </row>
    <row r="6452" spans="5:8" x14ac:dyDescent="0.2">
      <c r="G6452" t="str">
        <f>"59201.21"</f>
        <v>59201.21</v>
      </c>
      <c r="H6452" t="s">
        <v>4771</v>
      </c>
    </row>
    <row r="6453" spans="5:8" x14ac:dyDescent="0.2">
      <c r="G6453" t="str">
        <f>"59201.22"</f>
        <v>59201.22</v>
      </c>
      <c r="H6453" t="s">
        <v>4772</v>
      </c>
    </row>
    <row r="6454" spans="5:8" x14ac:dyDescent="0.2">
      <c r="F6454" t="str">
        <f>"59201.3"</f>
        <v>59201.3</v>
      </c>
      <c r="H6454" t="s">
        <v>4773</v>
      </c>
    </row>
    <row r="6455" spans="5:8" x14ac:dyDescent="0.2">
      <c r="G6455" t="str">
        <f>"59201.30"</f>
        <v>59201.30</v>
      </c>
      <c r="H6455" t="s">
        <v>4773</v>
      </c>
    </row>
    <row r="6456" spans="5:8" x14ac:dyDescent="0.2">
      <c r="E6456" t="str">
        <f>"59202"</f>
        <v>59202</v>
      </c>
      <c r="H6456" t="s">
        <v>4774</v>
      </c>
    </row>
    <row r="6457" spans="5:8" x14ac:dyDescent="0.2">
      <c r="F6457" t="str">
        <f>"59202.1"</f>
        <v>59202.1</v>
      </c>
      <c r="H6457" t="s">
        <v>4775</v>
      </c>
    </row>
    <row r="6458" spans="5:8" x14ac:dyDescent="0.2">
      <c r="G6458" t="str">
        <f>"59202.11"</f>
        <v>59202.11</v>
      </c>
      <c r="H6458" t="s">
        <v>4776</v>
      </c>
    </row>
    <row r="6459" spans="5:8" x14ac:dyDescent="0.2">
      <c r="G6459" t="str">
        <f>"59202.12"</f>
        <v>59202.12</v>
      </c>
      <c r="H6459" t="s">
        <v>4777</v>
      </c>
    </row>
    <row r="6460" spans="5:8" x14ac:dyDescent="0.2">
      <c r="F6460" t="str">
        <f>"59202.2"</f>
        <v>59202.2</v>
      </c>
      <c r="H6460" t="s">
        <v>4778</v>
      </c>
    </row>
    <row r="6461" spans="5:8" x14ac:dyDescent="0.2">
      <c r="G6461" t="str">
        <f>"59202.20"</f>
        <v>59202.20</v>
      </c>
      <c r="H6461" t="s">
        <v>4778</v>
      </c>
    </row>
    <row r="6462" spans="5:8" x14ac:dyDescent="0.2">
      <c r="F6462" t="str">
        <f>"59202.3"</f>
        <v>59202.3</v>
      </c>
      <c r="H6462" t="s">
        <v>4779</v>
      </c>
    </row>
    <row r="6463" spans="5:8" x14ac:dyDescent="0.2">
      <c r="G6463" t="str">
        <f>"59202.30"</f>
        <v>59202.30</v>
      </c>
      <c r="H6463" t="s">
        <v>4779</v>
      </c>
    </row>
    <row r="6464" spans="5:8" x14ac:dyDescent="0.2">
      <c r="E6464" t="str">
        <f>"59203"</f>
        <v>59203</v>
      </c>
      <c r="H6464" t="s">
        <v>4780</v>
      </c>
    </row>
    <row r="6465" spans="2:8" x14ac:dyDescent="0.2">
      <c r="F6465" t="str">
        <f>"59203.0"</f>
        <v>59203.0</v>
      </c>
      <c r="H6465" t="s">
        <v>4781</v>
      </c>
    </row>
    <row r="6466" spans="2:8" x14ac:dyDescent="0.2">
      <c r="G6466" t="str">
        <f>"59203.00"</f>
        <v>59203.00</v>
      </c>
      <c r="H6466" t="s">
        <v>4781</v>
      </c>
    </row>
    <row r="6467" spans="2:8" x14ac:dyDescent="0.2">
      <c r="B6467" t="str">
        <f>"60"</f>
        <v>60</v>
      </c>
      <c r="H6467" t="s">
        <v>4782</v>
      </c>
    </row>
    <row r="6468" spans="2:8" x14ac:dyDescent="0.2">
      <c r="C6468" t="str">
        <f>"601"</f>
        <v>601</v>
      </c>
      <c r="H6468" t="s">
        <v>4783</v>
      </c>
    </row>
    <row r="6469" spans="2:8" x14ac:dyDescent="0.2">
      <c r="D6469" t="str">
        <f>"6010"</f>
        <v>6010</v>
      </c>
      <c r="H6469" t="s">
        <v>4783</v>
      </c>
    </row>
    <row r="6470" spans="2:8" x14ac:dyDescent="0.2">
      <c r="E6470" t="str">
        <f>"60101"</f>
        <v>60101</v>
      </c>
      <c r="H6470" t="s">
        <v>4784</v>
      </c>
    </row>
    <row r="6471" spans="2:8" x14ac:dyDescent="0.2">
      <c r="F6471" t="str">
        <f>"60101.1"</f>
        <v>60101.1</v>
      </c>
      <c r="H6471" t="s">
        <v>4785</v>
      </c>
    </row>
    <row r="6472" spans="2:8" x14ac:dyDescent="0.2">
      <c r="G6472" t="str">
        <f>"60101.11"</f>
        <v>60101.11</v>
      </c>
      <c r="H6472" t="s">
        <v>4786</v>
      </c>
    </row>
    <row r="6473" spans="2:8" x14ac:dyDescent="0.2">
      <c r="G6473" t="str">
        <f>"60101.12"</f>
        <v>60101.12</v>
      </c>
      <c r="H6473" t="s">
        <v>4787</v>
      </c>
    </row>
    <row r="6474" spans="2:8" x14ac:dyDescent="0.2">
      <c r="F6474" t="str">
        <f>"60101.2"</f>
        <v>60101.2</v>
      </c>
      <c r="H6474" t="s">
        <v>4788</v>
      </c>
    </row>
    <row r="6475" spans="2:8" x14ac:dyDescent="0.2">
      <c r="G6475" t="str">
        <f>"60101.20"</f>
        <v>60101.20</v>
      </c>
      <c r="H6475" t="s">
        <v>4789</v>
      </c>
    </row>
    <row r="6476" spans="2:8" x14ac:dyDescent="0.2">
      <c r="F6476" t="str">
        <f>"60101.3"</f>
        <v>60101.3</v>
      </c>
      <c r="H6476" t="s">
        <v>4790</v>
      </c>
    </row>
    <row r="6477" spans="2:8" x14ac:dyDescent="0.2">
      <c r="G6477" t="str">
        <f>"60101.30"</f>
        <v>60101.30</v>
      </c>
      <c r="H6477" t="s">
        <v>4790</v>
      </c>
    </row>
    <row r="6478" spans="2:8" x14ac:dyDescent="0.2">
      <c r="E6478" t="str">
        <f>"60102"</f>
        <v>60102</v>
      </c>
      <c r="H6478" t="s">
        <v>4791</v>
      </c>
    </row>
    <row r="6479" spans="2:8" x14ac:dyDescent="0.2">
      <c r="F6479" t="str">
        <f>"60102.1"</f>
        <v>60102.1</v>
      </c>
      <c r="H6479" t="s">
        <v>4792</v>
      </c>
    </row>
    <row r="6480" spans="2:8" x14ac:dyDescent="0.2">
      <c r="G6480" t="str">
        <f>"60102.11"</f>
        <v>60102.11</v>
      </c>
      <c r="H6480" t="s">
        <v>4793</v>
      </c>
    </row>
    <row r="6481" spans="3:8" x14ac:dyDescent="0.2">
      <c r="G6481" t="str">
        <f>"60102.12"</f>
        <v>60102.12</v>
      </c>
      <c r="H6481" t="s">
        <v>4794</v>
      </c>
    </row>
    <row r="6482" spans="3:8" x14ac:dyDescent="0.2">
      <c r="F6482" t="str">
        <f>"60102.2"</f>
        <v>60102.2</v>
      </c>
      <c r="H6482" t="s">
        <v>4795</v>
      </c>
    </row>
    <row r="6483" spans="3:8" x14ac:dyDescent="0.2">
      <c r="G6483" t="str">
        <f>"60102.20"</f>
        <v>60102.20</v>
      </c>
      <c r="H6483" t="s">
        <v>4795</v>
      </c>
    </row>
    <row r="6484" spans="3:8" x14ac:dyDescent="0.2">
      <c r="F6484" t="str">
        <f>"60102.3"</f>
        <v>60102.3</v>
      </c>
      <c r="H6484" t="s">
        <v>4796</v>
      </c>
    </row>
    <row r="6485" spans="3:8" x14ac:dyDescent="0.2">
      <c r="G6485" t="str">
        <f>"60102.30"</f>
        <v>60102.30</v>
      </c>
      <c r="H6485" t="s">
        <v>4796</v>
      </c>
    </row>
    <row r="6486" spans="3:8" x14ac:dyDescent="0.2">
      <c r="C6486" t="str">
        <f>"602"</f>
        <v>602</v>
      </c>
      <c r="H6486" t="s">
        <v>4797</v>
      </c>
    </row>
    <row r="6487" spans="3:8" x14ac:dyDescent="0.2">
      <c r="D6487" t="str">
        <f>"6020"</f>
        <v>6020</v>
      </c>
      <c r="H6487" t="s">
        <v>4797</v>
      </c>
    </row>
    <row r="6488" spans="3:8" x14ac:dyDescent="0.2">
      <c r="E6488" t="str">
        <f>"60201"</f>
        <v>60201</v>
      </c>
      <c r="H6488" t="s">
        <v>4798</v>
      </c>
    </row>
    <row r="6489" spans="3:8" x14ac:dyDescent="0.2">
      <c r="F6489" t="str">
        <f>"60201.1"</f>
        <v>60201.1</v>
      </c>
      <c r="H6489" t="s">
        <v>4799</v>
      </c>
    </row>
    <row r="6490" spans="3:8" x14ac:dyDescent="0.2">
      <c r="G6490" t="str">
        <f>"60201.10"</f>
        <v>60201.10</v>
      </c>
      <c r="H6490" t="s">
        <v>4799</v>
      </c>
    </row>
    <row r="6491" spans="3:8" x14ac:dyDescent="0.2">
      <c r="F6491" t="str">
        <f>"60201.2"</f>
        <v>60201.2</v>
      </c>
      <c r="H6491" t="s">
        <v>4800</v>
      </c>
    </row>
    <row r="6492" spans="3:8" x14ac:dyDescent="0.2">
      <c r="G6492" t="str">
        <f>"60201.20"</f>
        <v>60201.20</v>
      </c>
      <c r="H6492" t="s">
        <v>4800</v>
      </c>
    </row>
    <row r="6493" spans="3:8" x14ac:dyDescent="0.2">
      <c r="F6493" t="str">
        <f>"60201.3"</f>
        <v>60201.3</v>
      </c>
      <c r="H6493" t="s">
        <v>4801</v>
      </c>
    </row>
    <row r="6494" spans="3:8" x14ac:dyDescent="0.2">
      <c r="G6494" t="str">
        <f>"60201.30"</f>
        <v>60201.30</v>
      </c>
      <c r="H6494" t="s">
        <v>4801</v>
      </c>
    </row>
    <row r="6495" spans="3:8" x14ac:dyDescent="0.2">
      <c r="F6495" t="str">
        <f>"60201.4"</f>
        <v>60201.4</v>
      </c>
      <c r="H6495" t="s">
        <v>4802</v>
      </c>
    </row>
    <row r="6496" spans="3:8" x14ac:dyDescent="0.2">
      <c r="G6496" t="str">
        <f>"60201.40"</f>
        <v>60201.40</v>
      </c>
      <c r="H6496" t="s">
        <v>4802</v>
      </c>
    </row>
    <row r="6497" spans="5:8" x14ac:dyDescent="0.2">
      <c r="E6497" t="str">
        <f>"60202"</f>
        <v>60202</v>
      </c>
      <c r="H6497" t="s">
        <v>4803</v>
      </c>
    </row>
    <row r="6498" spans="5:8" x14ac:dyDescent="0.2">
      <c r="F6498" t="str">
        <f>"60202.1"</f>
        <v>60202.1</v>
      </c>
      <c r="H6498" t="s">
        <v>4804</v>
      </c>
    </row>
    <row r="6499" spans="5:8" x14ac:dyDescent="0.2">
      <c r="G6499" t="str">
        <f>"60202.10"</f>
        <v>60202.10</v>
      </c>
      <c r="H6499" t="s">
        <v>4804</v>
      </c>
    </row>
    <row r="6500" spans="5:8" x14ac:dyDescent="0.2">
      <c r="F6500" t="str">
        <f>"60202.2"</f>
        <v>60202.2</v>
      </c>
      <c r="H6500" t="s">
        <v>4805</v>
      </c>
    </row>
    <row r="6501" spans="5:8" x14ac:dyDescent="0.2">
      <c r="G6501" t="str">
        <f>"60202.20"</f>
        <v>60202.20</v>
      </c>
      <c r="H6501" t="s">
        <v>4805</v>
      </c>
    </row>
    <row r="6502" spans="5:8" x14ac:dyDescent="0.2">
      <c r="F6502" t="str">
        <f>"60202.3"</f>
        <v>60202.3</v>
      </c>
      <c r="H6502" t="s">
        <v>4806</v>
      </c>
    </row>
    <row r="6503" spans="5:8" x14ac:dyDescent="0.2">
      <c r="G6503" t="str">
        <f>"60202.30"</f>
        <v>60202.30</v>
      </c>
      <c r="H6503" t="s">
        <v>4806</v>
      </c>
    </row>
    <row r="6504" spans="5:8" x14ac:dyDescent="0.2">
      <c r="F6504" t="str">
        <f>"60202.4"</f>
        <v>60202.4</v>
      </c>
      <c r="H6504" t="s">
        <v>4807</v>
      </c>
    </row>
    <row r="6505" spans="5:8" x14ac:dyDescent="0.2">
      <c r="G6505" t="str">
        <f>"60202.40"</f>
        <v>60202.40</v>
      </c>
      <c r="H6505" t="s">
        <v>4807</v>
      </c>
    </row>
    <row r="6506" spans="5:8" x14ac:dyDescent="0.2">
      <c r="E6506" t="str">
        <f>"60203"</f>
        <v>60203</v>
      </c>
      <c r="H6506" t="s">
        <v>4808</v>
      </c>
    </row>
    <row r="6507" spans="5:8" x14ac:dyDescent="0.2">
      <c r="F6507" t="str">
        <f>"60203.1"</f>
        <v>60203.1</v>
      </c>
      <c r="H6507" t="s">
        <v>4809</v>
      </c>
    </row>
    <row r="6508" spans="5:8" x14ac:dyDescent="0.2">
      <c r="G6508" t="str">
        <f>"60203.11"</f>
        <v>60203.11</v>
      </c>
      <c r="H6508" t="s">
        <v>4810</v>
      </c>
    </row>
    <row r="6509" spans="5:8" x14ac:dyDescent="0.2">
      <c r="G6509" t="str">
        <f>"60203.12"</f>
        <v>60203.12</v>
      </c>
      <c r="H6509" t="s">
        <v>4811</v>
      </c>
    </row>
    <row r="6510" spans="5:8" x14ac:dyDescent="0.2">
      <c r="F6510" t="str">
        <f>"60203.2"</f>
        <v>60203.2</v>
      </c>
      <c r="H6510" t="s">
        <v>4812</v>
      </c>
    </row>
    <row r="6511" spans="5:8" x14ac:dyDescent="0.2">
      <c r="G6511" t="str">
        <f>"60203.20"</f>
        <v>60203.20</v>
      </c>
      <c r="H6511" t="s">
        <v>4812</v>
      </c>
    </row>
    <row r="6512" spans="5:8" x14ac:dyDescent="0.2">
      <c r="F6512" t="str">
        <f>"60203.3"</f>
        <v>60203.3</v>
      </c>
      <c r="H6512" t="s">
        <v>4813</v>
      </c>
    </row>
    <row r="6513" spans="2:8" x14ac:dyDescent="0.2">
      <c r="G6513" t="str">
        <f>"60203.31"</f>
        <v>60203.31</v>
      </c>
      <c r="H6513" t="s">
        <v>4814</v>
      </c>
    </row>
    <row r="6514" spans="2:8" x14ac:dyDescent="0.2">
      <c r="G6514" t="str">
        <f>"60203.32"</f>
        <v>60203.32</v>
      </c>
      <c r="H6514" t="s">
        <v>4815</v>
      </c>
    </row>
    <row r="6515" spans="2:8" x14ac:dyDescent="0.2">
      <c r="F6515" t="str">
        <f>"60203.4"</f>
        <v>60203.4</v>
      </c>
      <c r="H6515" t="s">
        <v>4816</v>
      </c>
    </row>
    <row r="6516" spans="2:8" x14ac:dyDescent="0.2">
      <c r="G6516" t="str">
        <f>"60203.40"</f>
        <v>60203.40</v>
      </c>
      <c r="H6516" t="s">
        <v>4816</v>
      </c>
    </row>
    <row r="6517" spans="2:8" x14ac:dyDescent="0.2">
      <c r="B6517" t="str">
        <f>"61"</f>
        <v>61</v>
      </c>
      <c r="H6517" t="s">
        <v>4817</v>
      </c>
    </row>
    <row r="6518" spans="2:8" x14ac:dyDescent="0.2">
      <c r="C6518" t="str">
        <f>"611"</f>
        <v>611</v>
      </c>
      <c r="H6518" t="s">
        <v>4818</v>
      </c>
    </row>
    <row r="6519" spans="2:8" x14ac:dyDescent="0.2">
      <c r="D6519" t="str">
        <f>"6110"</f>
        <v>6110</v>
      </c>
      <c r="H6519" t="s">
        <v>4818</v>
      </c>
    </row>
    <row r="6520" spans="2:8" x14ac:dyDescent="0.2">
      <c r="E6520" t="str">
        <f>"61101"</f>
        <v>61101</v>
      </c>
      <c r="H6520" t="s">
        <v>4819</v>
      </c>
    </row>
    <row r="6521" spans="2:8" x14ac:dyDescent="0.2">
      <c r="F6521" t="str">
        <f>"61101.0"</f>
        <v>61101.0</v>
      </c>
      <c r="H6521" t="s">
        <v>4819</v>
      </c>
    </row>
    <row r="6522" spans="2:8" x14ac:dyDescent="0.2">
      <c r="G6522" t="str">
        <f>"61101.01"</f>
        <v>61101.01</v>
      </c>
      <c r="H6522" t="s">
        <v>4820</v>
      </c>
    </row>
    <row r="6523" spans="2:8" x14ac:dyDescent="0.2">
      <c r="G6523" t="str">
        <f>"61101.02"</f>
        <v>61101.02</v>
      </c>
      <c r="H6523" t="s">
        <v>4821</v>
      </c>
    </row>
    <row r="6524" spans="2:8" x14ac:dyDescent="0.2">
      <c r="G6524" t="str">
        <f>"61101.03"</f>
        <v>61101.03</v>
      </c>
      <c r="H6524" t="s">
        <v>4822</v>
      </c>
    </row>
    <row r="6525" spans="2:8" x14ac:dyDescent="0.2">
      <c r="G6525" t="str">
        <f>"61101.09"</f>
        <v>61101.09</v>
      </c>
      <c r="H6525" t="s">
        <v>4823</v>
      </c>
    </row>
    <row r="6526" spans="2:8" x14ac:dyDescent="0.2">
      <c r="E6526" t="str">
        <f>"61102"</f>
        <v>61102</v>
      </c>
      <c r="H6526" t="s">
        <v>4824</v>
      </c>
    </row>
    <row r="6527" spans="2:8" x14ac:dyDescent="0.2">
      <c r="F6527" t="str">
        <f>"61102.0"</f>
        <v>61102.0</v>
      </c>
      <c r="H6527" t="s">
        <v>4824</v>
      </c>
    </row>
    <row r="6528" spans="2:8" x14ac:dyDescent="0.2">
      <c r="G6528" t="str">
        <f>"61102.01"</f>
        <v>61102.01</v>
      </c>
      <c r="H6528" t="s">
        <v>4825</v>
      </c>
    </row>
    <row r="6529" spans="3:8" x14ac:dyDescent="0.2">
      <c r="G6529" t="str">
        <f>"61102.02"</f>
        <v>61102.02</v>
      </c>
      <c r="H6529" t="s">
        <v>4826</v>
      </c>
    </row>
    <row r="6530" spans="3:8" x14ac:dyDescent="0.2">
      <c r="G6530" t="str">
        <f>"61102.03"</f>
        <v>61102.03</v>
      </c>
      <c r="H6530" t="s">
        <v>4827</v>
      </c>
    </row>
    <row r="6531" spans="3:8" x14ac:dyDescent="0.2">
      <c r="E6531" t="str">
        <f>"61109"</f>
        <v>61109</v>
      </c>
      <c r="H6531" t="s">
        <v>4828</v>
      </c>
    </row>
    <row r="6532" spans="3:8" x14ac:dyDescent="0.2">
      <c r="F6532" t="str">
        <f>"61109.1"</f>
        <v>61109.1</v>
      </c>
      <c r="H6532" t="s">
        <v>4828</v>
      </c>
    </row>
    <row r="6533" spans="3:8" x14ac:dyDescent="0.2">
      <c r="G6533" t="str">
        <f>"61109.11"</f>
        <v>61109.11</v>
      </c>
      <c r="H6533" t="s">
        <v>4829</v>
      </c>
    </row>
    <row r="6534" spans="3:8" x14ac:dyDescent="0.2">
      <c r="G6534" t="str">
        <f>"61109.12"</f>
        <v>61109.12</v>
      </c>
      <c r="H6534" t="s">
        <v>4830</v>
      </c>
    </row>
    <row r="6535" spans="3:8" x14ac:dyDescent="0.2">
      <c r="G6535" t="str">
        <f>"61109.13"</f>
        <v>61109.13</v>
      </c>
      <c r="H6535" t="s">
        <v>4831</v>
      </c>
    </row>
    <row r="6536" spans="3:8" x14ac:dyDescent="0.2">
      <c r="F6536" t="str">
        <f>"61109.2"</f>
        <v>61109.2</v>
      </c>
      <c r="H6536" t="s">
        <v>4832</v>
      </c>
    </row>
    <row r="6537" spans="3:8" x14ac:dyDescent="0.2">
      <c r="G6537" t="str">
        <f>"61109.20"</f>
        <v>61109.20</v>
      </c>
      <c r="H6537" t="s">
        <v>4832</v>
      </c>
    </row>
    <row r="6538" spans="3:8" x14ac:dyDescent="0.2">
      <c r="F6538" t="str">
        <f>"61109.3"</f>
        <v>61109.3</v>
      </c>
      <c r="H6538" t="s">
        <v>4833</v>
      </c>
    </row>
    <row r="6539" spans="3:8" x14ac:dyDescent="0.2">
      <c r="G6539" t="str">
        <f>"61109.30"</f>
        <v>61109.30</v>
      </c>
      <c r="H6539" t="s">
        <v>4833</v>
      </c>
    </row>
    <row r="6540" spans="3:8" x14ac:dyDescent="0.2">
      <c r="C6540" t="str">
        <f>"612"</f>
        <v>612</v>
      </c>
      <c r="H6540" t="s">
        <v>4834</v>
      </c>
    </row>
    <row r="6541" spans="3:8" x14ac:dyDescent="0.2">
      <c r="D6541" t="str">
        <f>"6120"</f>
        <v>6120</v>
      </c>
      <c r="H6541" t="s">
        <v>4834</v>
      </c>
    </row>
    <row r="6542" spans="3:8" x14ac:dyDescent="0.2">
      <c r="E6542" t="str">
        <f>"61201"</f>
        <v>61201</v>
      </c>
      <c r="H6542" t="s">
        <v>4835</v>
      </c>
    </row>
    <row r="6543" spans="3:8" x14ac:dyDescent="0.2">
      <c r="F6543" t="str">
        <f>"61201.0"</f>
        <v>61201.0</v>
      </c>
      <c r="H6543" t="s">
        <v>4836</v>
      </c>
    </row>
    <row r="6544" spans="3:8" x14ac:dyDescent="0.2">
      <c r="G6544" t="str">
        <f>"61201.01"</f>
        <v>61201.01</v>
      </c>
      <c r="H6544" t="s">
        <v>4837</v>
      </c>
    </row>
    <row r="6545" spans="3:8" x14ac:dyDescent="0.2">
      <c r="G6545" t="str">
        <f>"61201.02"</f>
        <v>61201.02</v>
      </c>
      <c r="H6545" t="s">
        <v>4838</v>
      </c>
    </row>
    <row r="6546" spans="3:8" x14ac:dyDescent="0.2">
      <c r="E6546" t="str">
        <f>"61202"</f>
        <v>61202</v>
      </c>
      <c r="H6546" t="s">
        <v>4839</v>
      </c>
    </row>
    <row r="6547" spans="3:8" x14ac:dyDescent="0.2">
      <c r="F6547" t="str">
        <f>"61202.0"</f>
        <v>61202.0</v>
      </c>
      <c r="H6547" t="s">
        <v>4840</v>
      </c>
    </row>
    <row r="6548" spans="3:8" x14ac:dyDescent="0.2">
      <c r="G6548" t="str">
        <f>"61202.01"</f>
        <v>61202.01</v>
      </c>
      <c r="H6548" t="s">
        <v>4841</v>
      </c>
    </row>
    <row r="6549" spans="3:8" x14ac:dyDescent="0.2">
      <c r="G6549" t="str">
        <f>"61202.02"</f>
        <v>61202.02</v>
      </c>
      <c r="H6549" t="s">
        <v>4842</v>
      </c>
    </row>
    <row r="6550" spans="3:8" x14ac:dyDescent="0.2">
      <c r="G6550" t="str">
        <f>"61202.09"</f>
        <v>61202.09</v>
      </c>
      <c r="H6550" t="s">
        <v>4843</v>
      </c>
    </row>
    <row r="6551" spans="3:8" x14ac:dyDescent="0.2">
      <c r="E6551" t="str">
        <f>"61209"</f>
        <v>61209</v>
      </c>
      <c r="H6551" t="s">
        <v>4844</v>
      </c>
    </row>
    <row r="6552" spans="3:8" x14ac:dyDescent="0.2">
      <c r="F6552" t="str">
        <f>"61209.1"</f>
        <v>61209.1</v>
      </c>
      <c r="H6552" t="s">
        <v>4844</v>
      </c>
    </row>
    <row r="6553" spans="3:8" x14ac:dyDescent="0.2">
      <c r="G6553" t="str">
        <f>"61209.11"</f>
        <v>61209.11</v>
      </c>
      <c r="H6553" t="s">
        <v>4845</v>
      </c>
    </row>
    <row r="6554" spans="3:8" x14ac:dyDescent="0.2">
      <c r="G6554" t="str">
        <f>"61209.12"</f>
        <v>61209.12</v>
      </c>
      <c r="H6554" t="s">
        <v>4846</v>
      </c>
    </row>
    <row r="6555" spans="3:8" x14ac:dyDescent="0.2">
      <c r="G6555" t="str">
        <f>"61209.13"</f>
        <v>61209.13</v>
      </c>
      <c r="H6555" t="s">
        <v>4847</v>
      </c>
    </row>
    <row r="6556" spans="3:8" x14ac:dyDescent="0.2">
      <c r="F6556" t="str">
        <f>"61209.2"</f>
        <v>61209.2</v>
      </c>
      <c r="H6556" t="s">
        <v>4848</v>
      </c>
    </row>
    <row r="6557" spans="3:8" x14ac:dyDescent="0.2">
      <c r="G6557" t="str">
        <f>"61209.21"</f>
        <v>61209.21</v>
      </c>
      <c r="H6557" t="s">
        <v>4849</v>
      </c>
    </row>
    <row r="6558" spans="3:8" x14ac:dyDescent="0.2">
      <c r="G6558" t="str">
        <f>"61209.22"</f>
        <v>61209.22</v>
      </c>
      <c r="H6558" t="s">
        <v>4850</v>
      </c>
    </row>
    <row r="6559" spans="3:8" x14ac:dyDescent="0.2">
      <c r="G6559" t="str">
        <f>"61209.23"</f>
        <v>61209.23</v>
      </c>
      <c r="H6559" t="s">
        <v>4851</v>
      </c>
    </row>
    <row r="6560" spans="3:8" x14ac:dyDescent="0.2">
      <c r="C6560" t="str">
        <f>"613"</f>
        <v>613</v>
      </c>
      <c r="H6560" t="s">
        <v>4852</v>
      </c>
    </row>
    <row r="6561" spans="2:8" x14ac:dyDescent="0.2">
      <c r="D6561" t="str">
        <f>"6130"</f>
        <v>6130</v>
      </c>
      <c r="H6561" t="s">
        <v>4852</v>
      </c>
    </row>
    <row r="6562" spans="2:8" x14ac:dyDescent="0.2">
      <c r="E6562" t="str">
        <f>"61301"</f>
        <v>61301</v>
      </c>
      <c r="H6562" t="s">
        <v>4853</v>
      </c>
    </row>
    <row r="6563" spans="2:8" x14ac:dyDescent="0.2">
      <c r="F6563" t="str">
        <f>"61301.0"</f>
        <v>61301.0</v>
      </c>
      <c r="H6563" t="s">
        <v>4854</v>
      </c>
    </row>
    <row r="6564" spans="2:8" x14ac:dyDescent="0.2">
      <c r="G6564" t="str">
        <f>"61301.01"</f>
        <v>61301.01</v>
      </c>
      <c r="H6564" t="s">
        <v>4855</v>
      </c>
    </row>
    <row r="6565" spans="2:8" x14ac:dyDescent="0.2">
      <c r="G6565" t="str">
        <f>"61301.02"</f>
        <v>61301.02</v>
      </c>
      <c r="H6565" t="s">
        <v>4856</v>
      </c>
    </row>
    <row r="6566" spans="2:8" x14ac:dyDescent="0.2">
      <c r="G6566" t="str">
        <f>"61301.03"</f>
        <v>61301.03</v>
      </c>
      <c r="H6566" t="s">
        <v>4857</v>
      </c>
    </row>
    <row r="6567" spans="2:8" x14ac:dyDescent="0.2">
      <c r="E6567" t="str">
        <f>"61302"</f>
        <v>61302</v>
      </c>
      <c r="H6567" t="s">
        <v>4858</v>
      </c>
    </row>
    <row r="6568" spans="2:8" x14ac:dyDescent="0.2">
      <c r="F6568" t="str">
        <f>"61302.0"</f>
        <v>61302.0</v>
      </c>
      <c r="H6568" t="s">
        <v>4859</v>
      </c>
    </row>
    <row r="6569" spans="2:8" x14ac:dyDescent="0.2">
      <c r="G6569" t="str">
        <f>"61302.00"</f>
        <v>61302.00</v>
      </c>
      <c r="H6569" t="s">
        <v>4859</v>
      </c>
    </row>
    <row r="6570" spans="2:8" x14ac:dyDescent="0.2">
      <c r="C6570" t="str">
        <f>"619"</f>
        <v>619</v>
      </c>
      <c r="H6570" t="s">
        <v>4860</v>
      </c>
    </row>
    <row r="6571" spans="2:8" x14ac:dyDescent="0.2">
      <c r="D6571" t="str">
        <f>"6190"</f>
        <v>6190</v>
      </c>
      <c r="H6571" t="s">
        <v>4860</v>
      </c>
    </row>
    <row r="6572" spans="2:8" x14ac:dyDescent="0.2">
      <c r="E6572" t="str">
        <f>"61900"</f>
        <v>61900</v>
      </c>
      <c r="H6572" t="s">
        <v>4860</v>
      </c>
    </row>
    <row r="6573" spans="2:8" x14ac:dyDescent="0.2">
      <c r="F6573" t="str">
        <f>"61900.0"</f>
        <v>61900.0</v>
      </c>
      <c r="H6573" t="s">
        <v>4861</v>
      </c>
    </row>
    <row r="6574" spans="2:8" x14ac:dyDescent="0.2">
      <c r="G6574" t="str">
        <f>"61900.00"</f>
        <v>61900.00</v>
      </c>
      <c r="H6574" t="s">
        <v>4861</v>
      </c>
    </row>
    <row r="6575" spans="2:8" x14ac:dyDescent="0.2">
      <c r="B6575" t="str">
        <f>"62"</f>
        <v>62</v>
      </c>
      <c r="H6575" t="s">
        <v>4862</v>
      </c>
    </row>
    <row r="6576" spans="2:8" x14ac:dyDescent="0.2">
      <c r="C6576" t="str">
        <f>"620"</f>
        <v>620</v>
      </c>
      <c r="H6576" t="s">
        <v>4862</v>
      </c>
    </row>
    <row r="6577" spans="4:8" x14ac:dyDescent="0.2">
      <c r="D6577" t="str">
        <f>"6201"</f>
        <v>6201</v>
      </c>
      <c r="H6577" t="s">
        <v>4863</v>
      </c>
    </row>
    <row r="6578" spans="4:8" x14ac:dyDescent="0.2">
      <c r="E6578" t="str">
        <f>"62011"</f>
        <v>62011</v>
      </c>
      <c r="H6578" t="s">
        <v>4864</v>
      </c>
    </row>
    <row r="6579" spans="4:8" x14ac:dyDescent="0.2">
      <c r="F6579" t="str">
        <f>"62011.1"</f>
        <v>62011.1</v>
      </c>
      <c r="H6579" t="s">
        <v>4864</v>
      </c>
    </row>
    <row r="6580" spans="4:8" x14ac:dyDescent="0.2">
      <c r="G6580" t="str">
        <f>"62011.11"</f>
        <v>62011.11</v>
      </c>
      <c r="H6580" t="s">
        <v>4865</v>
      </c>
    </row>
    <row r="6581" spans="4:8" x14ac:dyDescent="0.2">
      <c r="G6581" t="str">
        <f>"62011.12"</f>
        <v>62011.12</v>
      </c>
      <c r="H6581" t="s">
        <v>4866</v>
      </c>
    </row>
    <row r="6582" spans="4:8" x14ac:dyDescent="0.2">
      <c r="F6582" t="str">
        <f>"62011.2"</f>
        <v>62011.2</v>
      </c>
      <c r="H6582" t="s">
        <v>4867</v>
      </c>
    </row>
    <row r="6583" spans="4:8" x14ac:dyDescent="0.2">
      <c r="G6583" t="str">
        <f>"62011.20"</f>
        <v>62011.20</v>
      </c>
      <c r="H6583" t="s">
        <v>4867</v>
      </c>
    </row>
    <row r="6584" spans="4:8" x14ac:dyDescent="0.2">
      <c r="E6584" t="str">
        <f>"62012"</f>
        <v>62012</v>
      </c>
      <c r="H6584" t="s">
        <v>4868</v>
      </c>
    </row>
    <row r="6585" spans="4:8" x14ac:dyDescent="0.2">
      <c r="F6585" t="str">
        <f>"62012.1"</f>
        <v>62012.1</v>
      </c>
      <c r="H6585" t="s">
        <v>4869</v>
      </c>
    </row>
    <row r="6586" spans="4:8" x14ac:dyDescent="0.2">
      <c r="G6586" t="str">
        <f>"62012.10"</f>
        <v>62012.10</v>
      </c>
      <c r="H6586" t="s">
        <v>4869</v>
      </c>
    </row>
    <row r="6587" spans="4:8" x14ac:dyDescent="0.2">
      <c r="F6587" t="str">
        <f>"62012.2"</f>
        <v>62012.2</v>
      </c>
      <c r="H6587" t="s">
        <v>4870</v>
      </c>
    </row>
    <row r="6588" spans="4:8" x14ac:dyDescent="0.2">
      <c r="G6588" t="str">
        <f>"62012.20"</f>
        <v>62012.20</v>
      </c>
      <c r="H6588" t="s">
        <v>4870</v>
      </c>
    </row>
    <row r="6589" spans="4:8" x14ac:dyDescent="0.2">
      <c r="D6589" t="str">
        <f>"6202"</f>
        <v>6202</v>
      </c>
      <c r="H6589" t="s">
        <v>4871</v>
      </c>
    </row>
    <row r="6590" spans="4:8" x14ac:dyDescent="0.2">
      <c r="E6590" t="str">
        <f>"62021"</f>
        <v>62021</v>
      </c>
      <c r="H6590" t="s">
        <v>4872</v>
      </c>
    </row>
    <row r="6591" spans="4:8" x14ac:dyDescent="0.2">
      <c r="F6591" t="str">
        <f>"62021.0"</f>
        <v>62021.0</v>
      </c>
      <c r="H6591" t="s">
        <v>4872</v>
      </c>
    </row>
    <row r="6592" spans="4:8" x14ac:dyDescent="0.2">
      <c r="G6592" t="str">
        <f>"62021.01"</f>
        <v>62021.01</v>
      </c>
      <c r="H6592" t="s">
        <v>4873</v>
      </c>
    </row>
    <row r="6593" spans="2:8" x14ac:dyDescent="0.2">
      <c r="G6593" t="str">
        <f>"62021.02"</f>
        <v>62021.02</v>
      </c>
      <c r="H6593" t="s">
        <v>4874</v>
      </c>
    </row>
    <row r="6594" spans="2:8" x14ac:dyDescent="0.2">
      <c r="E6594" t="str">
        <f>"62022"</f>
        <v>62022</v>
      </c>
      <c r="H6594" t="s">
        <v>4875</v>
      </c>
    </row>
    <row r="6595" spans="2:8" x14ac:dyDescent="0.2">
      <c r="F6595" t="str">
        <f>"62022.0"</f>
        <v>62022.0</v>
      </c>
      <c r="H6595" t="s">
        <v>4876</v>
      </c>
    </row>
    <row r="6596" spans="2:8" x14ac:dyDescent="0.2">
      <c r="G6596" t="str">
        <f>"62022.01"</f>
        <v>62022.01</v>
      </c>
      <c r="H6596" t="s">
        <v>4875</v>
      </c>
    </row>
    <row r="6597" spans="2:8" x14ac:dyDescent="0.2">
      <c r="G6597" t="str">
        <f>"62022.02"</f>
        <v>62022.02</v>
      </c>
      <c r="H6597" t="s">
        <v>4877</v>
      </c>
    </row>
    <row r="6598" spans="2:8" x14ac:dyDescent="0.2">
      <c r="E6598" t="str">
        <f>"62023"</f>
        <v>62023</v>
      </c>
      <c r="H6598" t="s">
        <v>4878</v>
      </c>
    </row>
    <row r="6599" spans="2:8" x14ac:dyDescent="0.2">
      <c r="F6599" t="str">
        <f>"62023.0"</f>
        <v>62023.0</v>
      </c>
      <c r="H6599" t="s">
        <v>4879</v>
      </c>
    </row>
    <row r="6600" spans="2:8" x14ac:dyDescent="0.2">
      <c r="G6600" t="str">
        <f>"62023.01"</f>
        <v>62023.01</v>
      </c>
      <c r="H6600" t="s">
        <v>4880</v>
      </c>
    </row>
    <row r="6601" spans="2:8" x14ac:dyDescent="0.2">
      <c r="G6601" t="str">
        <f>"62023.02"</f>
        <v>62023.02</v>
      </c>
      <c r="H6601" t="s">
        <v>4881</v>
      </c>
    </row>
    <row r="6602" spans="2:8" x14ac:dyDescent="0.2">
      <c r="D6602" t="str">
        <f>"6209"</f>
        <v>6209</v>
      </c>
      <c r="H6602" t="s">
        <v>4882</v>
      </c>
    </row>
    <row r="6603" spans="2:8" x14ac:dyDescent="0.2">
      <c r="E6603" t="str">
        <f>"62090"</f>
        <v>62090</v>
      </c>
      <c r="H6603" t="s">
        <v>4882</v>
      </c>
    </row>
    <row r="6604" spans="2:8" x14ac:dyDescent="0.2">
      <c r="F6604" t="str">
        <f>"62090.1"</f>
        <v>62090.1</v>
      </c>
      <c r="H6604" t="s">
        <v>4883</v>
      </c>
    </row>
    <row r="6605" spans="2:8" x14ac:dyDescent="0.2">
      <c r="G6605" t="str">
        <f>"62090.10"</f>
        <v>62090.10</v>
      </c>
      <c r="H6605" t="s">
        <v>4883</v>
      </c>
    </row>
    <row r="6606" spans="2:8" x14ac:dyDescent="0.2">
      <c r="F6606" t="str">
        <f>"62090.9"</f>
        <v>62090.9</v>
      </c>
      <c r="H6606" t="s">
        <v>4884</v>
      </c>
    </row>
    <row r="6607" spans="2:8" x14ac:dyDescent="0.2">
      <c r="G6607" t="str">
        <f>"62090.90"</f>
        <v>62090.90</v>
      </c>
      <c r="H6607" t="s">
        <v>4884</v>
      </c>
    </row>
    <row r="6608" spans="2:8" x14ac:dyDescent="0.2">
      <c r="B6608" t="str">
        <f>"63"</f>
        <v>63</v>
      </c>
      <c r="H6608" t="s">
        <v>4885</v>
      </c>
    </row>
    <row r="6609" spans="3:8" x14ac:dyDescent="0.2">
      <c r="C6609" t="str">
        <f>"631"</f>
        <v>631</v>
      </c>
      <c r="H6609" t="s">
        <v>4886</v>
      </c>
    </row>
    <row r="6610" spans="3:8" x14ac:dyDescent="0.2">
      <c r="D6610" t="str">
        <f>"6311"</f>
        <v>6311</v>
      </c>
      <c r="H6610" t="s">
        <v>4887</v>
      </c>
    </row>
    <row r="6611" spans="3:8" x14ac:dyDescent="0.2">
      <c r="E6611" t="str">
        <f>"63111"</f>
        <v>63111</v>
      </c>
      <c r="H6611" t="s">
        <v>4888</v>
      </c>
    </row>
    <row r="6612" spans="3:8" x14ac:dyDescent="0.2">
      <c r="F6612" t="str">
        <f>"63111.0"</f>
        <v>63111.0</v>
      </c>
      <c r="H6612" t="s">
        <v>4889</v>
      </c>
    </row>
    <row r="6613" spans="3:8" x14ac:dyDescent="0.2">
      <c r="G6613" t="str">
        <f>"63111.00"</f>
        <v>63111.00</v>
      </c>
      <c r="H6613" t="s">
        <v>4889</v>
      </c>
    </row>
    <row r="6614" spans="3:8" x14ac:dyDescent="0.2">
      <c r="E6614" t="str">
        <f>"63112"</f>
        <v>63112</v>
      </c>
      <c r="H6614" t="s">
        <v>4890</v>
      </c>
    </row>
    <row r="6615" spans="3:8" x14ac:dyDescent="0.2">
      <c r="F6615" t="str">
        <f>"63112.1"</f>
        <v>63112.1</v>
      </c>
      <c r="H6615" t="s">
        <v>4891</v>
      </c>
    </row>
    <row r="6616" spans="3:8" x14ac:dyDescent="0.2">
      <c r="G6616" t="str">
        <f>"63112.11"</f>
        <v>63112.11</v>
      </c>
      <c r="H6616" t="s">
        <v>4891</v>
      </c>
    </row>
    <row r="6617" spans="3:8" x14ac:dyDescent="0.2">
      <c r="G6617" t="str">
        <f>"63112.12"</f>
        <v>63112.12</v>
      </c>
      <c r="H6617" t="s">
        <v>4892</v>
      </c>
    </row>
    <row r="6618" spans="3:8" x14ac:dyDescent="0.2">
      <c r="G6618" t="str">
        <f>"63112.19"</f>
        <v>63112.19</v>
      </c>
      <c r="H6618" t="s">
        <v>4893</v>
      </c>
    </row>
    <row r="6619" spans="3:8" x14ac:dyDescent="0.2">
      <c r="F6619" t="str">
        <f>"63112.2"</f>
        <v>63112.2</v>
      </c>
      <c r="H6619" t="s">
        <v>4894</v>
      </c>
    </row>
    <row r="6620" spans="3:8" x14ac:dyDescent="0.2">
      <c r="G6620" t="str">
        <f>"63112.21"</f>
        <v>63112.21</v>
      </c>
      <c r="H6620" t="s">
        <v>4895</v>
      </c>
    </row>
    <row r="6621" spans="3:8" x14ac:dyDescent="0.2">
      <c r="G6621" t="str">
        <f>"63112.22"</f>
        <v>63112.22</v>
      </c>
      <c r="H6621" t="s">
        <v>4896</v>
      </c>
    </row>
    <row r="6622" spans="3:8" x14ac:dyDescent="0.2">
      <c r="F6622" t="str">
        <f>"63112.3"</f>
        <v>63112.3</v>
      </c>
      <c r="H6622" t="s">
        <v>4897</v>
      </c>
    </row>
    <row r="6623" spans="3:8" x14ac:dyDescent="0.2">
      <c r="G6623" t="str">
        <f>"63112.30"</f>
        <v>63112.30</v>
      </c>
      <c r="H6623" t="s">
        <v>4897</v>
      </c>
    </row>
    <row r="6624" spans="3:8" x14ac:dyDescent="0.2">
      <c r="D6624" t="str">
        <f>"6312"</f>
        <v>6312</v>
      </c>
      <c r="H6624" t="s">
        <v>4898</v>
      </c>
    </row>
    <row r="6625" spans="3:8" x14ac:dyDescent="0.2">
      <c r="E6625" t="str">
        <f>"63120"</f>
        <v>63120</v>
      </c>
      <c r="H6625" t="s">
        <v>4898</v>
      </c>
    </row>
    <row r="6626" spans="3:8" x14ac:dyDescent="0.2">
      <c r="F6626" t="str">
        <f>"63120.0"</f>
        <v>63120.0</v>
      </c>
      <c r="H6626" t="s">
        <v>4898</v>
      </c>
    </row>
    <row r="6627" spans="3:8" x14ac:dyDescent="0.2">
      <c r="G6627" t="str">
        <f>"63120.01"</f>
        <v>63120.01</v>
      </c>
      <c r="H6627" t="s">
        <v>4899</v>
      </c>
    </row>
    <row r="6628" spans="3:8" x14ac:dyDescent="0.2">
      <c r="G6628" t="str">
        <f>"63120.02"</f>
        <v>63120.02</v>
      </c>
      <c r="H6628" t="s">
        <v>4900</v>
      </c>
    </row>
    <row r="6629" spans="3:8" x14ac:dyDescent="0.2">
      <c r="C6629" t="str">
        <f>"639"</f>
        <v>639</v>
      </c>
      <c r="H6629" t="s">
        <v>4901</v>
      </c>
    </row>
    <row r="6630" spans="3:8" x14ac:dyDescent="0.2">
      <c r="D6630" t="str">
        <f>"6391"</f>
        <v>6391</v>
      </c>
      <c r="H6630" t="s">
        <v>4902</v>
      </c>
    </row>
    <row r="6631" spans="3:8" x14ac:dyDescent="0.2">
      <c r="E6631" t="str">
        <f>"63911"</f>
        <v>63911</v>
      </c>
      <c r="H6631" t="s">
        <v>4903</v>
      </c>
    </row>
    <row r="6632" spans="3:8" x14ac:dyDescent="0.2">
      <c r="F6632" t="str">
        <f>"63911.0"</f>
        <v>63911.0</v>
      </c>
      <c r="H6632" t="s">
        <v>4903</v>
      </c>
    </row>
    <row r="6633" spans="3:8" x14ac:dyDescent="0.2">
      <c r="G6633" t="str">
        <f>"63911.00"</f>
        <v>63911.00</v>
      </c>
      <c r="H6633" t="s">
        <v>4903</v>
      </c>
    </row>
    <row r="6634" spans="3:8" x14ac:dyDescent="0.2">
      <c r="E6634" t="str">
        <f>"63912"</f>
        <v>63912</v>
      </c>
      <c r="H6634" t="s">
        <v>4904</v>
      </c>
    </row>
    <row r="6635" spans="3:8" x14ac:dyDescent="0.2">
      <c r="F6635" t="str">
        <f>"63912.0"</f>
        <v>63912.0</v>
      </c>
      <c r="H6635" t="s">
        <v>4905</v>
      </c>
    </row>
    <row r="6636" spans="3:8" x14ac:dyDescent="0.2">
      <c r="G6636" t="str">
        <f>"63912.00"</f>
        <v>63912.00</v>
      </c>
      <c r="H6636" t="s">
        <v>4905</v>
      </c>
    </row>
    <row r="6637" spans="3:8" x14ac:dyDescent="0.2">
      <c r="D6637" t="str">
        <f>"6399"</f>
        <v>6399</v>
      </c>
      <c r="H6637" t="s">
        <v>4906</v>
      </c>
    </row>
    <row r="6638" spans="3:8" x14ac:dyDescent="0.2">
      <c r="E6638" t="str">
        <f>"63990"</f>
        <v>63990</v>
      </c>
      <c r="H6638" t="s">
        <v>4906</v>
      </c>
    </row>
    <row r="6639" spans="3:8" x14ac:dyDescent="0.2">
      <c r="F6639" t="str">
        <f>"63990.1"</f>
        <v>63990.1</v>
      </c>
      <c r="H6639" t="s">
        <v>4907</v>
      </c>
    </row>
    <row r="6640" spans="3:8" x14ac:dyDescent="0.2">
      <c r="G6640" t="str">
        <f>"63990.10"</f>
        <v>63990.10</v>
      </c>
      <c r="H6640" t="s">
        <v>4907</v>
      </c>
    </row>
    <row r="6641" spans="1:8" x14ac:dyDescent="0.2">
      <c r="F6641" t="str">
        <f>"63990.2"</f>
        <v>63990.2</v>
      </c>
      <c r="H6641" t="s">
        <v>4908</v>
      </c>
    </row>
    <row r="6642" spans="1:8" x14ac:dyDescent="0.2">
      <c r="G6642" t="str">
        <f>"63990.20"</f>
        <v>63990.20</v>
      </c>
      <c r="H6642" t="s">
        <v>4908</v>
      </c>
    </row>
    <row r="6643" spans="1:8" x14ac:dyDescent="0.2">
      <c r="A6643" t="s">
        <v>4909</v>
      </c>
      <c r="H6643" t="s">
        <v>4910</v>
      </c>
    </row>
    <row r="6644" spans="1:8" x14ac:dyDescent="0.2">
      <c r="B6644" t="str">
        <f>"64"</f>
        <v>64</v>
      </c>
      <c r="H6644" t="s">
        <v>4911</v>
      </c>
    </row>
    <row r="6645" spans="1:8" x14ac:dyDescent="0.2">
      <c r="C6645" t="str">
        <f>"641"</f>
        <v>641</v>
      </c>
      <c r="H6645" t="s">
        <v>4912</v>
      </c>
    </row>
    <row r="6646" spans="1:8" x14ac:dyDescent="0.2">
      <c r="D6646" t="str">
        <f>"6411"</f>
        <v>6411</v>
      </c>
      <c r="H6646" t="s">
        <v>4913</v>
      </c>
    </row>
    <row r="6647" spans="1:8" x14ac:dyDescent="0.2">
      <c r="E6647" t="str">
        <f>"64110"</f>
        <v>64110</v>
      </c>
      <c r="H6647" t="s">
        <v>4913</v>
      </c>
    </row>
    <row r="6648" spans="1:8" x14ac:dyDescent="0.2">
      <c r="F6648" t="str">
        <f>"64110.0"</f>
        <v>64110.0</v>
      </c>
      <c r="H6648" t="s">
        <v>4914</v>
      </c>
    </row>
    <row r="6649" spans="1:8" x14ac:dyDescent="0.2">
      <c r="G6649" t="str">
        <f>"64110.00"</f>
        <v>64110.00</v>
      </c>
      <c r="H6649" t="s">
        <v>4914</v>
      </c>
    </row>
    <row r="6650" spans="1:8" x14ac:dyDescent="0.2">
      <c r="D6650" t="str">
        <f>"6419"</f>
        <v>6419</v>
      </c>
      <c r="H6650" t="s">
        <v>4915</v>
      </c>
    </row>
    <row r="6651" spans="1:8" x14ac:dyDescent="0.2">
      <c r="E6651" t="str">
        <f>"64191"</f>
        <v>64191</v>
      </c>
      <c r="H6651" t="s">
        <v>4916</v>
      </c>
    </row>
    <row r="6652" spans="1:8" x14ac:dyDescent="0.2">
      <c r="F6652" t="str">
        <f>"64191.1"</f>
        <v>64191.1</v>
      </c>
      <c r="H6652" t="s">
        <v>4917</v>
      </c>
    </row>
    <row r="6653" spans="1:8" x14ac:dyDescent="0.2">
      <c r="G6653" t="str">
        <f>"64191.10"</f>
        <v>64191.10</v>
      </c>
      <c r="H6653" t="s">
        <v>4917</v>
      </c>
    </row>
    <row r="6654" spans="1:8" x14ac:dyDescent="0.2">
      <c r="F6654" t="str">
        <f>"64191.2"</f>
        <v>64191.2</v>
      </c>
      <c r="H6654" t="s">
        <v>4918</v>
      </c>
    </row>
    <row r="6655" spans="1:8" x14ac:dyDescent="0.2">
      <c r="G6655" t="str">
        <f>"64191.20"</f>
        <v>64191.20</v>
      </c>
      <c r="H6655" t="s">
        <v>4918</v>
      </c>
    </row>
    <row r="6656" spans="1:8" x14ac:dyDescent="0.2">
      <c r="F6656" t="str">
        <f>"64191.9"</f>
        <v>64191.9</v>
      </c>
      <c r="H6656" t="s">
        <v>4919</v>
      </c>
    </row>
    <row r="6657" spans="5:8" x14ac:dyDescent="0.2">
      <c r="G6657" t="str">
        <f>"64191.90"</f>
        <v>64191.90</v>
      </c>
      <c r="H6657" t="s">
        <v>4919</v>
      </c>
    </row>
    <row r="6658" spans="5:8" x14ac:dyDescent="0.2">
      <c r="E6658" t="str">
        <f>"64192"</f>
        <v>64192</v>
      </c>
      <c r="H6658" t="s">
        <v>4920</v>
      </c>
    </row>
    <row r="6659" spans="5:8" x14ac:dyDescent="0.2">
      <c r="F6659" t="str">
        <f>"64192.1"</f>
        <v>64192.1</v>
      </c>
      <c r="H6659" t="s">
        <v>4921</v>
      </c>
    </row>
    <row r="6660" spans="5:8" x14ac:dyDescent="0.2">
      <c r="G6660" t="str">
        <f>"64192.10"</f>
        <v>64192.10</v>
      </c>
      <c r="H6660" t="s">
        <v>4921</v>
      </c>
    </row>
    <row r="6661" spans="5:8" x14ac:dyDescent="0.2">
      <c r="F6661" t="str">
        <f>"64192.2"</f>
        <v>64192.2</v>
      </c>
      <c r="H6661" t="s">
        <v>4922</v>
      </c>
    </row>
    <row r="6662" spans="5:8" x14ac:dyDescent="0.2">
      <c r="G6662" t="str">
        <f>"64192.20"</f>
        <v>64192.20</v>
      </c>
      <c r="H6662" t="s">
        <v>4922</v>
      </c>
    </row>
    <row r="6663" spans="5:8" x14ac:dyDescent="0.2">
      <c r="F6663" t="str">
        <f>"64192.9"</f>
        <v>64192.9</v>
      </c>
      <c r="H6663" t="s">
        <v>4923</v>
      </c>
    </row>
    <row r="6664" spans="5:8" x14ac:dyDescent="0.2">
      <c r="G6664" t="str">
        <f>"64192.90"</f>
        <v>64192.90</v>
      </c>
      <c r="H6664" t="s">
        <v>4923</v>
      </c>
    </row>
    <row r="6665" spans="5:8" x14ac:dyDescent="0.2">
      <c r="E6665" t="str">
        <f>"64193"</f>
        <v>64193</v>
      </c>
      <c r="H6665" t="s">
        <v>4924</v>
      </c>
    </row>
    <row r="6666" spans="5:8" x14ac:dyDescent="0.2">
      <c r="F6666" t="str">
        <f>"64193.1"</f>
        <v>64193.1</v>
      </c>
      <c r="H6666" t="s">
        <v>4925</v>
      </c>
    </row>
    <row r="6667" spans="5:8" x14ac:dyDescent="0.2">
      <c r="G6667" t="str">
        <f>"64193.10"</f>
        <v>64193.10</v>
      </c>
      <c r="H6667" t="s">
        <v>4925</v>
      </c>
    </row>
    <row r="6668" spans="5:8" x14ac:dyDescent="0.2">
      <c r="F6668" t="str">
        <f>"64193.2"</f>
        <v>64193.2</v>
      </c>
      <c r="H6668" t="s">
        <v>4926</v>
      </c>
    </row>
    <row r="6669" spans="5:8" x14ac:dyDescent="0.2">
      <c r="G6669" t="str">
        <f>"64193.20"</f>
        <v>64193.20</v>
      </c>
      <c r="H6669" t="s">
        <v>4926</v>
      </c>
    </row>
    <row r="6670" spans="5:8" x14ac:dyDescent="0.2">
      <c r="E6670" t="str">
        <f>"64194"</f>
        <v>64194</v>
      </c>
      <c r="H6670" t="s">
        <v>4927</v>
      </c>
    </row>
    <row r="6671" spans="5:8" x14ac:dyDescent="0.2">
      <c r="F6671" t="str">
        <f>"64194.1"</f>
        <v>64194.1</v>
      </c>
      <c r="H6671" t="s">
        <v>4928</v>
      </c>
    </row>
    <row r="6672" spans="5:8" x14ac:dyDescent="0.2">
      <c r="G6672" t="str">
        <f>"64194.10"</f>
        <v>64194.10</v>
      </c>
      <c r="H6672" t="s">
        <v>4928</v>
      </c>
    </row>
    <row r="6673" spans="3:8" x14ac:dyDescent="0.2">
      <c r="F6673" t="str">
        <f>"64194.2"</f>
        <v>64194.2</v>
      </c>
      <c r="H6673" t="s">
        <v>4929</v>
      </c>
    </row>
    <row r="6674" spans="3:8" x14ac:dyDescent="0.2">
      <c r="G6674" t="str">
        <f>"64194.20"</f>
        <v>64194.20</v>
      </c>
      <c r="H6674" t="s">
        <v>4929</v>
      </c>
    </row>
    <row r="6675" spans="3:8" x14ac:dyDescent="0.2">
      <c r="F6675" t="str">
        <f>"64194.9"</f>
        <v>64194.9</v>
      </c>
      <c r="H6675" t="s">
        <v>4930</v>
      </c>
    </row>
    <row r="6676" spans="3:8" x14ac:dyDescent="0.2">
      <c r="G6676" t="str">
        <f>"64194.90"</f>
        <v>64194.90</v>
      </c>
      <c r="H6676" t="s">
        <v>4930</v>
      </c>
    </row>
    <row r="6677" spans="3:8" x14ac:dyDescent="0.2">
      <c r="E6677" t="str">
        <f>"64195"</f>
        <v>64195</v>
      </c>
      <c r="H6677" t="s">
        <v>4931</v>
      </c>
    </row>
    <row r="6678" spans="3:8" x14ac:dyDescent="0.2">
      <c r="F6678" t="str">
        <f>"64195.1"</f>
        <v>64195.1</v>
      </c>
      <c r="H6678" t="s">
        <v>4932</v>
      </c>
    </row>
    <row r="6679" spans="3:8" x14ac:dyDescent="0.2">
      <c r="G6679" t="str">
        <f>"64195.10"</f>
        <v>64195.10</v>
      </c>
      <c r="H6679" t="s">
        <v>4932</v>
      </c>
    </row>
    <row r="6680" spans="3:8" x14ac:dyDescent="0.2">
      <c r="F6680" t="str">
        <f>"64195.2"</f>
        <v>64195.2</v>
      </c>
      <c r="H6680" t="s">
        <v>4933</v>
      </c>
    </row>
    <row r="6681" spans="3:8" x14ac:dyDescent="0.2">
      <c r="G6681" t="str">
        <f>"64195.20"</f>
        <v>64195.20</v>
      </c>
      <c r="H6681" t="s">
        <v>4933</v>
      </c>
    </row>
    <row r="6682" spans="3:8" x14ac:dyDescent="0.2">
      <c r="F6682" t="str">
        <f>"64195.9"</f>
        <v>64195.9</v>
      </c>
      <c r="H6682" t="s">
        <v>4934</v>
      </c>
    </row>
    <row r="6683" spans="3:8" x14ac:dyDescent="0.2">
      <c r="G6683" t="str">
        <f>"64195.90"</f>
        <v>64195.90</v>
      </c>
      <c r="H6683" t="s">
        <v>4934</v>
      </c>
    </row>
    <row r="6684" spans="3:8" x14ac:dyDescent="0.2">
      <c r="C6684" t="str">
        <f>"642"</f>
        <v>642</v>
      </c>
      <c r="H6684" t="s">
        <v>4935</v>
      </c>
    </row>
    <row r="6685" spans="3:8" x14ac:dyDescent="0.2">
      <c r="D6685" t="str">
        <f>"6420"</f>
        <v>6420</v>
      </c>
      <c r="H6685" t="s">
        <v>4935</v>
      </c>
    </row>
    <row r="6686" spans="3:8" x14ac:dyDescent="0.2">
      <c r="E6686" t="str">
        <f>"64201"</f>
        <v>64201</v>
      </c>
      <c r="H6686" t="s">
        <v>4936</v>
      </c>
    </row>
    <row r="6687" spans="3:8" x14ac:dyDescent="0.2">
      <c r="F6687" t="str">
        <f>"64201.0"</f>
        <v>64201.0</v>
      </c>
      <c r="H6687" t="s">
        <v>4937</v>
      </c>
    </row>
    <row r="6688" spans="3:8" x14ac:dyDescent="0.2">
      <c r="G6688" t="str">
        <f>"64201.00"</f>
        <v>64201.00</v>
      </c>
      <c r="H6688" t="s">
        <v>4937</v>
      </c>
    </row>
    <row r="6689" spans="3:8" x14ac:dyDescent="0.2">
      <c r="E6689" t="str">
        <f>"64202"</f>
        <v>64202</v>
      </c>
      <c r="H6689" t="s">
        <v>4938</v>
      </c>
    </row>
    <row r="6690" spans="3:8" x14ac:dyDescent="0.2">
      <c r="F6690" t="str">
        <f>"64202.0"</f>
        <v>64202.0</v>
      </c>
      <c r="H6690" t="s">
        <v>4939</v>
      </c>
    </row>
    <row r="6691" spans="3:8" x14ac:dyDescent="0.2">
      <c r="G6691" t="str">
        <f>"64202.00"</f>
        <v>64202.00</v>
      </c>
      <c r="H6691" t="s">
        <v>4939</v>
      </c>
    </row>
    <row r="6692" spans="3:8" x14ac:dyDescent="0.2">
      <c r="C6692" t="str">
        <f>"643"</f>
        <v>643</v>
      </c>
      <c r="H6692" t="s">
        <v>4940</v>
      </c>
    </row>
    <row r="6693" spans="3:8" x14ac:dyDescent="0.2">
      <c r="D6693" t="str">
        <f>"6430"</f>
        <v>6430</v>
      </c>
      <c r="H6693" t="s">
        <v>4940</v>
      </c>
    </row>
    <row r="6694" spans="3:8" x14ac:dyDescent="0.2">
      <c r="E6694" t="str">
        <f>"64301"</f>
        <v>64301</v>
      </c>
      <c r="H6694" t="s">
        <v>4941</v>
      </c>
    </row>
    <row r="6695" spans="3:8" x14ac:dyDescent="0.2">
      <c r="F6695" t="str">
        <f>"64301.0"</f>
        <v>64301.0</v>
      </c>
      <c r="H6695" t="s">
        <v>4941</v>
      </c>
    </row>
    <row r="6696" spans="3:8" x14ac:dyDescent="0.2">
      <c r="G6696" t="str">
        <f>"64301.00"</f>
        <v>64301.00</v>
      </c>
      <c r="H6696" t="s">
        <v>4941</v>
      </c>
    </row>
    <row r="6697" spans="3:8" x14ac:dyDescent="0.2">
      <c r="E6697" t="str">
        <f>"64302"</f>
        <v>64302</v>
      </c>
      <c r="H6697" t="s">
        <v>4942</v>
      </c>
    </row>
    <row r="6698" spans="3:8" x14ac:dyDescent="0.2">
      <c r="F6698" t="str">
        <f>"64302.0"</f>
        <v>64302.0</v>
      </c>
      <c r="H6698" t="s">
        <v>4942</v>
      </c>
    </row>
    <row r="6699" spans="3:8" x14ac:dyDescent="0.2">
      <c r="G6699" t="str">
        <f>"64302.00"</f>
        <v>64302.00</v>
      </c>
      <c r="H6699" t="s">
        <v>4942</v>
      </c>
    </row>
    <row r="6700" spans="3:8" x14ac:dyDescent="0.2">
      <c r="E6700" t="str">
        <f>"64309"</f>
        <v>64309</v>
      </c>
      <c r="H6700" t="s">
        <v>4943</v>
      </c>
    </row>
    <row r="6701" spans="3:8" x14ac:dyDescent="0.2">
      <c r="F6701" t="str">
        <f>"64309.0"</f>
        <v>64309.0</v>
      </c>
      <c r="H6701" t="s">
        <v>4944</v>
      </c>
    </row>
    <row r="6702" spans="3:8" x14ac:dyDescent="0.2">
      <c r="G6702" t="str">
        <f>"64309.00"</f>
        <v>64309.00</v>
      </c>
      <c r="H6702" t="s">
        <v>4944</v>
      </c>
    </row>
    <row r="6703" spans="3:8" x14ac:dyDescent="0.2">
      <c r="C6703" t="str">
        <f>"649"</f>
        <v>649</v>
      </c>
      <c r="H6703" t="s">
        <v>4945</v>
      </c>
    </row>
    <row r="6704" spans="3:8" x14ac:dyDescent="0.2">
      <c r="D6704" t="str">
        <f>"6491"</f>
        <v>6491</v>
      </c>
      <c r="H6704" t="s">
        <v>4946</v>
      </c>
    </row>
    <row r="6705" spans="4:8" x14ac:dyDescent="0.2">
      <c r="E6705" t="str">
        <f>"64911"</f>
        <v>64911</v>
      </c>
      <c r="H6705" t="s">
        <v>4947</v>
      </c>
    </row>
    <row r="6706" spans="4:8" x14ac:dyDescent="0.2">
      <c r="F6706" t="str">
        <f>"64911.0"</f>
        <v>64911.0</v>
      </c>
      <c r="H6706" t="s">
        <v>4948</v>
      </c>
    </row>
    <row r="6707" spans="4:8" x14ac:dyDescent="0.2">
      <c r="G6707" t="str">
        <f>"64911.00"</f>
        <v>64911.00</v>
      </c>
      <c r="H6707" t="s">
        <v>4948</v>
      </c>
    </row>
    <row r="6708" spans="4:8" x14ac:dyDescent="0.2">
      <c r="E6708" t="str">
        <f>"64912"</f>
        <v>64912</v>
      </c>
      <c r="H6708" t="s">
        <v>4949</v>
      </c>
    </row>
    <row r="6709" spans="4:8" x14ac:dyDescent="0.2">
      <c r="F6709" t="str">
        <f>"64912.0"</f>
        <v>64912.0</v>
      </c>
      <c r="H6709" t="s">
        <v>4950</v>
      </c>
    </row>
    <row r="6710" spans="4:8" x14ac:dyDescent="0.2">
      <c r="G6710" t="str">
        <f>"64912.00"</f>
        <v>64912.00</v>
      </c>
      <c r="H6710" t="s">
        <v>4950</v>
      </c>
    </row>
    <row r="6711" spans="4:8" x14ac:dyDescent="0.2">
      <c r="E6711" t="str">
        <f>"64913"</f>
        <v>64913</v>
      </c>
      <c r="H6711" t="s">
        <v>4951</v>
      </c>
    </row>
    <row r="6712" spans="4:8" x14ac:dyDescent="0.2">
      <c r="F6712" t="str">
        <f>"64913.0"</f>
        <v>64913.0</v>
      </c>
      <c r="H6712" t="s">
        <v>4952</v>
      </c>
    </row>
    <row r="6713" spans="4:8" x14ac:dyDescent="0.2">
      <c r="G6713" t="str">
        <f>"64913.00"</f>
        <v>64913.00</v>
      </c>
      <c r="H6713" t="s">
        <v>4952</v>
      </c>
    </row>
    <row r="6714" spans="4:8" x14ac:dyDescent="0.2">
      <c r="D6714" t="str">
        <f>"6492"</f>
        <v>6492</v>
      </c>
      <c r="H6714" t="s">
        <v>4953</v>
      </c>
    </row>
    <row r="6715" spans="4:8" x14ac:dyDescent="0.2">
      <c r="E6715" t="str">
        <f>"64921"</f>
        <v>64921</v>
      </c>
      <c r="H6715" t="s">
        <v>4954</v>
      </c>
    </row>
    <row r="6716" spans="4:8" x14ac:dyDescent="0.2">
      <c r="F6716" t="str">
        <f>"64921.0"</f>
        <v>64921.0</v>
      </c>
      <c r="H6716" t="s">
        <v>4955</v>
      </c>
    </row>
    <row r="6717" spans="4:8" x14ac:dyDescent="0.2">
      <c r="G6717" t="str">
        <f>"64921.00"</f>
        <v>64921.00</v>
      </c>
      <c r="H6717" t="s">
        <v>4955</v>
      </c>
    </row>
    <row r="6718" spans="4:8" x14ac:dyDescent="0.2">
      <c r="E6718" t="str">
        <f>"64922"</f>
        <v>64922</v>
      </c>
      <c r="H6718" t="s">
        <v>4956</v>
      </c>
    </row>
    <row r="6719" spans="4:8" x14ac:dyDescent="0.2">
      <c r="F6719" t="str">
        <f>"64922.0"</f>
        <v>64922.0</v>
      </c>
      <c r="H6719" t="s">
        <v>4957</v>
      </c>
    </row>
    <row r="6720" spans="4:8" x14ac:dyDescent="0.2">
      <c r="G6720" t="str">
        <f>"64922.00"</f>
        <v>64922.00</v>
      </c>
      <c r="H6720" t="s">
        <v>4957</v>
      </c>
    </row>
    <row r="6721" spans="4:8" x14ac:dyDescent="0.2">
      <c r="E6721" t="str">
        <f>"64923"</f>
        <v>64923</v>
      </c>
      <c r="H6721" t="s">
        <v>4958</v>
      </c>
    </row>
    <row r="6722" spans="4:8" x14ac:dyDescent="0.2">
      <c r="F6722" t="str">
        <f>"64923.0"</f>
        <v>64923.0</v>
      </c>
      <c r="H6722" t="s">
        <v>4959</v>
      </c>
    </row>
    <row r="6723" spans="4:8" x14ac:dyDescent="0.2">
      <c r="G6723" t="str">
        <f>"64923.00"</f>
        <v>64923.00</v>
      </c>
      <c r="H6723" t="s">
        <v>4959</v>
      </c>
    </row>
    <row r="6724" spans="4:8" x14ac:dyDescent="0.2">
      <c r="E6724" t="str">
        <f>"64924"</f>
        <v>64924</v>
      </c>
      <c r="H6724" t="s">
        <v>4960</v>
      </c>
    </row>
    <row r="6725" spans="4:8" x14ac:dyDescent="0.2">
      <c r="F6725" t="str">
        <f>"64924.0"</f>
        <v>64924.0</v>
      </c>
      <c r="H6725" t="s">
        <v>4961</v>
      </c>
    </row>
    <row r="6726" spans="4:8" x14ac:dyDescent="0.2">
      <c r="G6726" t="str">
        <f>"64924.00"</f>
        <v>64924.00</v>
      </c>
      <c r="H6726" t="s">
        <v>4961</v>
      </c>
    </row>
    <row r="6727" spans="4:8" x14ac:dyDescent="0.2">
      <c r="E6727" t="str">
        <f>"64925"</f>
        <v>64925</v>
      </c>
      <c r="H6727" t="s">
        <v>4962</v>
      </c>
    </row>
    <row r="6728" spans="4:8" x14ac:dyDescent="0.2">
      <c r="F6728" t="str">
        <f>"64925.0"</f>
        <v>64925.0</v>
      </c>
      <c r="H6728" t="s">
        <v>4963</v>
      </c>
    </row>
    <row r="6729" spans="4:8" x14ac:dyDescent="0.2">
      <c r="G6729" t="str">
        <f>"64925.00"</f>
        <v>64925.00</v>
      </c>
      <c r="H6729" t="s">
        <v>4963</v>
      </c>
    </row>
    <row r="6730" spans="4:8" x14ac:dyDescent="0.2">
      <c r="E6730" t="str">
        <f>"64929"</f>
        <v>64929</v>
      </c>
      <c r="H6730" t="s">
        <v>4964</v>
      </c>
    </row>
    <row r="6731" spans="4:8" x14ac:dyDescent="0.2">
      <c r="F6731" t="str">
        <f>"64929.0"</f>
        <v>64929.0</v>
      </c>
      <c r="H6731" t="s">
        <v>4965</v>
      </c>
    </row>
    <row r="6732" spans="4:8" x14ac:dyDescent="0.2">
      <c r="G6732" t="str">
        <f>"64929.00"</f>
        <v>64929.00</v>
      </c>
      <c r="H6732" t="s">
        <v>4965</v>
      </c>
    </row>
    <row r="6733" spans="4:8" x14ac:dyDescent="0.2">
      <c r="D6733" t="str">
        <f>"6499"</f>
        <v>6499</v>
      </c>
      <c r="H6733" t="s">
        <v>4966</v>
      </c>
    </row>
    <row r="6734" spans="4:8" x14ac:dyDescent="0.2">
      <c r="E6734" t="str">
        <f>"64991"</f>
        <v>64991</v>
      </c>
      <c r="H6734" t="s">
        <v>4967</v>
      </c>
    </row>
    <row r="6735" spans="4:8" x14ac:dyDescent="0.2">
      <c r="F6735" t="str">
        <f>"64991.0"</f>
        <v>64991.0</v>
      </c>
      <c r="H6735" t="s">
        <v>4968</v>
      </c>
    </row>
    <row r="6736" spans="4:8" x14ac:dyDescent="0.2">
      <c r="G6736" t="str">
        <f>"64991.00"</f>
        <v>64991.00</v>
      </c>
      <c r="H6736" t="s">
        <v>4968</v>
      </c>
    </row>
    <row r="6737" spans="2:8" x14ac:dyDescent="0.2">
      <c r="E6737" t="str">
        <f>"64992"</f>
        <v>64992</v>
      </c>
      <c r="H6737" t="s">
        <v>4969</v>
      </c>
    </row>
    <row r="6738" spans="2:8" x14ac:dyDescent="0.2">
      <c r="F6738" t="str">
        <f>"64992.0"</f>
        <v>64992.0</v>
      </c>
      <c r="H6738" t="s">
        <v>4970</v>
      </c>
    </row>
    <row r="6739" spans="2:8" x14ac:dyDescent="0.2">
      <c r="G6739" t="str">
        <f>"64992.00"</f>
        <v>64992.00</v>
      </c>
      <c r="H6739" t="s">
        <v>4970</v>
      </c>
    </row>
    <row r="6740" spans="2:8" x14ac:dyDescent="0.2">
      <c r="E6740" t="str">
        <f>"64999"</f>
        <v>64999</v>
      </c>
      <c r="H6740" t="s">
        <v>4966</v>
      </c>
    </row>
    <row r="6741" spans="2:8" x14ac:dyDescent="0.2">
      <c r="F6741" t="str">
        <f>"64999.0"</f>
        <v>64999.0</v>
      </c>
      <c r="H6741" t="s">
        <v>4971</v>
      </c>
    </row>
    <row r="6742" spans="2:8" x14ac:dyDescent="0.2">
      <c r="G6742" t="str">
        <f>"64999.01"</f>
        <v>64999.01</v>
      </c>
      <c r="H6742" t="s">
        <v>4972</v>
      </c>
    </row>
    <row r="6743" spans="2:8" x14ac:dyDescent="0.2">
      <c r="G6743" t="str">
        <f>"64999.09"</f>
        <v>64999.09</v>
      </c>
      <c r="H6743" t="s">
        <v>4966</v>
      </c>
    </row>
    <row r="6744" spans="2:8" x14ac:dyDescent="0.2">
      <c r="B6744" t="str">
        <f>"65"</f>
        <v>65</v>
      </c>
      <c r="H6744" t="s">
        <v>4973</v>
      </c>
    </row>
    <row r="6745" spans="2:8" x14ac:dyDescent="0.2">
      <c r="C6745" t="str">
        <f>"651"</f>
        <v>651</v>
      </c>
      <c r="H6745" t="s">
        <v>4974</v>
      </c>
    </row>
    <row r="6746" spans="2:8" x14ac:dyDescent="0.2">
      <c r="D6746" t="str">
        <f>"6511"</f>
        <v>6511</v>
      </c>
      <c r="H6746" t="s">
        <v>4975</v>
      </c>
    </row>
    <row r="6747" spans="2:8" x14ac:dyDescent="0.2">
      <c r="E6747" t="str">
        <f>"65110"</f>
        <v>65110</v>
      </c>
      <c r="H6747" t="s">
        <v>4975</v>
      </c>
    </row>
    <row r="6748" spans="2:8" x14ac:dyDescent="0.2">
      <c r="F6748" t="str">
        <f>"65110.0"</f>
        <v>65110.0</v>
      </c>
      <c r="H6748" t="s">
        <v>4976</v>
      </c>
    </row>
    <row r="6749" spans="2:8" x14ac:dyDescent="0.2">
      <c r="G6749" t="str">
        <f>"65110.00"</f>
        <v>65110.00</v>
      </c>
      <c r="H6749" t="s">
        <v>4976</v>
      </c>
    </row>
    <row r="6750" spans="2:8" x14ac:dyDescent="0.2">
      <c r="D6750" t="str">
        <f>"6512"</f>
        <v>6512</v>
      </c>
      <c r="H6750" t="s">
        <v>4977</v>
      </c>
    </row>
    <row r="6751" spans="2:8" x14ac:dyDescent="0.2">
      <c r="E6751" t="str">
        <f>"65120"</f>
        <v>65120</v>
      </c>
      <c r="H6751" t="s">
        <v>4977</v>
      </c>
    </row>
    <row r="6752" spans="2:8" x14ac:dyDescent="0.2">
      <c r="F6752" t="str">
        <f>"65120.1"</f>
        <v>65120.1</v>
      </c>
      <c r="H6752" t="s">
        <v>4978</v>
      </c>
    </row>
    <row r="6753" spans="6:8" x14ac:dyDescent="0.2">
      <c r="G6753" t="str">
        <f>"65120.11"</f>
        <v>65120.11</v>
      </c>
      <c r="H6753" t="s">
        <v>4979</v>
      </c>
    </row>
    <row r="6754" spans="6:8" x14ac:dyDescent="0.2">
      <c r="G6754" t="str">
        <f>"65120.12"</f>
        <v>65120.12</v>
      </c>
      <c r="H6754" t="s">
        <v>4980</v>
      </c>
    </row>
    <row r="6755" spans="6:8" x14ac:dyDescent="0.2">
      <c r="F6755" t="str">
        <f>"65120.2"</f>
        <v>65120.2</v>
      </c>
      <c r="H6755" t="s">
        <v>4981</v>
      </c>
    </row>
    <row r="6756" spans="6:8" x14ac:dyDescent="0.2">
      <c r="G6756" t="str">
        <f>"65120.21"</f>
        <v>65120.21</v>
      </c>
      <c r="H6756" t="s">
        <v>4982</v>
      </c>
    </row>
    <row r="6757" spans="6:8" x14ac:dyDescent="0.2">
      <c r="G6757" t="str">
        <f>"65120.29"</f>
        <v>65120.29</v>
      </c>
      <c r="H6757" t="s">
        <v>4983</v>
      </c>
    </row>
    <row r="6758" spans="6:8" x14ac:dyDescent="0.2">
      <c r="F6758" t="str">
        <f>"65120.3"</f>
        <v>65120.3</v>
      </c>
      <c r="H6758" t="s">
        <v>4984</v>
      </c>
    </row>
    <row r="6759" spans="6:8" x14ac:dyDescent="0.2">
      <c r="G6759" t="str">
        <f>"65120.31"</f>
        <v>65120.31</v>
      </c>
      <c r="H6759" t="s">
        <v>4985</v>
      </c>
    </row>
    <row r="6760" spans="6:8" x14ac:dyDescent="0.2">
      <c r="G6760" t="str">
        <f>"65120.32"</f>
        <v>65120.32</v>
      </c>
      <c r="H6760" t="s">
        <v>4986</v>
      </c>
    </row>
    <row r="6761" spans="6:8" x14ac:dyDescent="0.2">
      <c r="G6761" t="str">
        <f>"65120.33"</f>
        <v>65120.33</v>
      </c>
      <c r="H6761" t="s">
        <v>4987</v>
      </c>
    </row>
    <row r="6762" spans="6:8" x14ac:dyDescent="0.2">
      <c r="G6762" t="str">
        <f>"65120.34"</f>
        <v>65120.34</v>
      </c>
      <c r="H6762" t="s">
        <v>4988</v>
      </c>
    </row>
    <row r="6763" spans="6:8" x14ac:dyDescent="0.2">
      <c r="G6763" t="str">
        <f>"65120.35"</f>
        <v>65120.35</v>
      </c>
      <c r="H6763" t="s">
        <v>4989</v>
      </c>
    </row>
    <row r="6764" spans="6:8" x14ac:dyDescent="0.2">
      <c r="G6764" t="str">
        <f>"65120.36"</f>
        <v>65120.36</v>
      </c>
      <c r="H6764" t="s">
        <v>4990</v>
      </c>
    </row>
    <row r="6765" spans="6:8" x14ac:dyDescent="0.2">
      <c r="F6765" t="str">
        <f>"65120.4"</f>
        <v>65120.4</v>
      </c>
      <c r="H6765" t="s">
        <v>4991</v>
      </c>
    </row>
    <row r="6766" spans="6:8" x14ac:dyDescent="0.2">
      <c r="G6766" t="str">
        <f>"65120.41"</f>
        <v>65120.41</v>
      </c>
      <c r="H6766" t="s">
        <v>4992</v>
      </c>
    </row>
    <row r="6767" spans="6:8" x14ac:dyDescent="0.2">
      <c r="G6767" t="str">
        <f>"65120.49"</f>
        <v>65120.49</v>
      </c>
      <c r="H6767" t="s">
        <v>4993</v>
      </c>
    </row>
    <row r="6768" spans="6:8" x14ac:dyDescent="0.2">
      <c r="F6768" t="str">
        <f>"65120.5"</f>
        <v>65120.5</v>
      </c>
      <c r="H6768" t="s">
        <v>4994</v>
      </c>
    </row>
    <row r="6769" spans="3:8" x14ac:dyDescent="0.2">
      <c r="G6769" t="str">
        <f>"65120.50"</f>
        <v>65120.50</v>
      </c>
      <c r="H6769" t="s">
        <v>4994</v>
      </c>
    </row>
    <row r="6770" spans="3:8" x14ac:dyDescent="0.2">
      <c r="F6770" t="str">
        <f>"65120.6"</f>
        <v>65120.6</v>
      </c>
      <c r="H6770" t="s">
        <v>4995</v>
      </c>
    </row>
    <row r="6771" spans="3:8" x14ac:dyDescent="0.2">
      <c r="G6771" t="str">
        <f>"65120.61"</f>
        <v>65120.61</v>
      </c>
      <c r="H6771" t="s">
        <v>4996</v>
      </c>
    </row>
    <row r="6772" spans="3:8" x14ac:dyDescent="0.2">
      <c r="G6772" t="str">
        <f>"65120.62"</f>
        <v>65120.62</v>
      </c>
      <c r="H6772" t="s">
        <v>4997</v>
      </c>
    </row>
    <row r="6773" spans="3:8" x14ac:dyDescent="0.2">
      <c r="F6773" t="str">
        <f>"65120.7"</f>
        <v>65120.7</v>
      </c>
      <c r="H6773" t="s">
        <v>4998</v>
      </c>
    </row>
    <row r="6774" spans="3:8" x14ac:dyDescent="0.2">
      <c r="G6774" t="str">
        <f>"65120.71"</f>
        <v>65120.71</v>
      </c>
      <c r="H6774" t="s">
        <v>4999</v>
      </c>
    </row>
    <row r="6775" spans="3:8" x14ac:dyDescent="0.2">
      <c r="G6775" t="str">
        <f>"65120.72"</f>
        <v>65120.72</v>
      </c>
      <c r="H6775" t="s">
        <v>5000</v>
      </c>
    </row>
    <row r="6776" spans="3:8" x14ac:dyDescent="0.2">
      <c r="G6776" t="str">
        <f>"65120.79"</f>
        <v>65120.79</v>
      </c>
      <c r="H6776" t="s">
        <v>5001</v>
      </c>
    </row>
    <row r="6777" spans="3:8" x14ac:dyDescent="0.2">
      <c r="F6777" t="str">
        <f>"65120.9"</f>
        <v>65120.9</v>
      </c>
      <c r="H6777" t="s">
        <v>5002</v>
      </c>
    </row>
    <row r="6778" spans="3:8" x14ac:dyDescent="0.2">
      <c r="G6778" t="str">
        <f>"65120.90"</f>
        <v>65120.90</v>
      </c>
      <c r="H6778" t="s">
        <v>5002</v>
      </c>
    </row>
    <row r="6779" spans="3:8" x14ac:dyDescent="0.2">
      <c r="C6779" t="str">
        <f>"652"</f>
        <v>652</v>
      </c>
      <c r="H6779" t="s">
        <v>5003</v>
      </c>
    </row>
    <row r="6780" spans="3:8" x14ac:dyDescent="0.2">
      <c r="D6780" t="str">
        <f>"6520"</f>
        <v>6520</v>
      </c>
      <c r="H6780" t="s">
        <v>5003</v>
      </c>
    </row>
    <row r="6781" spans="3:8" x14ac:dyDescent="0.2">
      <c r="E6781" t="str">
        <f>"65200"</f>
        <v>65200</v>
      </c>
      <c r="H6781" t="s">
        <v>5003</v>
      </c>
    </row>
    <row r="6782" spans="3:8" x14ac:dyDescent="0.2">
      <c r="F6782" t="str">
        <f>"65200.1"</f>
        <v>65200.1</v>
      </c>
      <c r="H6782" t="s">
        <v>5004</v>
      </c>
    </row>
    <row r="6783" spans="3:8" x14ac:dyDescent="0.2">
      <c r="G6783" t="str">
        <f>"65200.11"</f>
        <v>65200.11</v>
      </c>
      <c r="H6783" t="s">
        <v>5005</v>
      </c>
    </row>
    <row r="6784" spans="3:8" x14ac:dyDescent="0.2">
      <c r="G6784" t="str">
        <f>"65200.12"</f>
        <v>65200.12</v>
      </c>
      <c r="H6784" t="s">
        <v>5006</v>
      </c>
    </row>
    <row r="6785" spans="6:8" x14ac:dyDescent="0.2">
      <c r="G6785" t="str">
        <f>"65200.13"</f>
        <v>65200.13</v>
      </c>
      <c r="H6785" t="s">
        <v>5007</v>
      </c>
    </row>
    <row r="6786" spans="6:8" x14ac:dyDescent="0.2">
      <c r="F6786" t="str">
        <f>"65200.2"</f>
        <v>65200.2</v>
      </c>
      <c r="H6786" t="s">
        <v>5008</v>
      </c>
    </row>
    <row r="6787" spans="6:8" x14ac:dyDescent="0.2">
      <c r="G6787" t="str">
        <f>"65200.21"</f>
        <v>65200.21</v>
      </c>
      <c r="H6787" t="s">
        <v>5009</v>
      </c>
    </row>
    <row r="6788" spans="6:8" x14ac:dyDescent="0.2">
      <c r="G6788" t="str">
        <f>"65200.22"</f>
        <v>65200.22</v>
      </c>
      <c r="H6788" t="s">
        <v>5010</v>
      </c>
    </row>
    <row r="6789" spans="6:8" x14ac:dyDescent="0.2">
      <c r="G6789" t="str">
        <f>"65200.23"</f>
        <v>65200.23</v>
      </c>
      <c r="H6789" t="s">
        <v>5011</v>
      </c>
    </row>
    <row r="6790" spans="6:8" x14ac:dyDescent="0.2">
      <c r="G6790" t="str">
        <f>"65200.24"</f>
        <v>65200.24</v>
      </c>
      <c r="H6790" t="s">
        <v>5012</v>
      </c>
    </row>
    <row r="6791" spans="6:8" x14ac:dyDescent="0.2">
      <c r="G6791" t="str">
        <f>"65200.25"</f>
        <v>65200.25</v>
      </c>
      <c r="H6791" t="s">
        <v>5013</v>
      </c>
    </row>
    <row r="6792" spans="6:8" x14ac:dyDescent="0.2">
      <c r="F6792" t="str">
        <f>"65200.3"</f>
        <v>65200.3</v>
      </c>
      <c r="H6792" t="s">
        <v>5014</v>
      </c>
    </row>
    <row r="6793" spans="6:8" x14ac:dyDescent="0.2">
      <c r="G6793" t="str">
        <f>"65200.31"</f>
        <v>65200.31</v>
      </c>
      <c r="H6793" t="s">
        <v>5015</v>
      </c>
    </row>
    <row r="6794" spans="6:8" x14ac:dyDescent="0.2">
      <c r="G6794" t="str">
        <f>"65200.32"</f>
        <v>65200.32</v>
      </c>
      <c r="H6794" t="s">
        <v>5016</v>
      </c>
    </row>
    <row r="6795" spans="6:8" x14ac:dyDescent="0.2">
      <c r="F6795" t="str">
        <f>"65200.4"</f>
        <v>65200.4</v>
      </c>
      <c r="H6795" t="s">
        <v>5017</v>
      </c>
    </row>
    <row r="6796" spans="6:8" x14ac:dyDescent="0.2">
      <c r="G6796" t="str">
        <f>"65200.41"</f>
        <v>65200.41</v>
      </c>
      <c r="H6796" t="s">
        <v>5018</v>
      </c>
    </row>
    <row r="6797" spans="6:8" x14ac:dyDescent="0.2">
      <c r="G6797" t="str">
        <f>"65200.49"</f>
        <v>65200.49</v>
      </c>
      <c r="H6797" t="s">
        <v>5019</v>
      </c>
    </row>
    <row r="6798" spans="6:8" x14ac:dyDescent="0.2">
      <c r="F6798" t="str">
        <f>"65200.5"</f>
        <v>65200.5</v>
      </c>
      <c r="H6798" t="s">
        <v>5020</v>
      </c>
    </row>
    <row r="6799" spans="6:8" x14ac:dyDescent="0.2">
      <c r="G6799" t="str">
        <f>"65200.50"</f>
        <v>65200.50</v>
      </c>
      <c r="H6799" t="s">
        <v>5020</v>
      </c>
    </row>
    <row r="6800" spans="6:8" x14ac:dyDescent="0.2">
      <c r="F6800" t="str">
        <f>"65200.6"</f>
        <v>65200.6</v>
      </c>
      <c r="H6800" t="s">
        <v>5021</v>
      </c>
    </row>
    <row r="6801" spans="2:8" x14ac:dyDescent="0.2">
      <c r="G6801" t="str">
        <f>"65200.60"</f>
        <v>65200.60</v>
      </c>
      <c r="H6801" t="s">
        <v>5021</v>
      </c>
    </row>
    <row r="6802" spans="2:8" x14ac:dyDescent="0.2">
      <c r="C6802" t="str">
        <f>"653"</f>
        <v>653</v>
      </c>
      <c r="H6802" t="s">
        <v>5022</v>
      </c>
    </row>
    <row r="6803" spans="2:8" x14ac:dyDescent="0.2">
      <c r="D6803" t="str">
        <f>"6530"</f>
        <v>6530</v>
      </c>
      <c r="H6803" t="s">
        <v>5022</v>
      </c>
    </row>
    <row r="6804" spans="2:8" x14ac:dyDescent="0.2">
      <c r="E6804" t="str">
        <f>"65300"</f>
        <v>65300</v>
      </c>
      <c r="H6804" t="s">
        <v>5022</v>
      </c>
    </row>
    <row r="6805" spans="2:8" x14ac:dyDescent="0.2">
      <c r="F6805" t="str">
        <f>"65300.0"</f>
        <v>65300.0</v>
      </c>
      <c r="H6805" t="s">
        <v>5022</v>
      </c>
    </row>
    <row r="6806" spans="2:8" x14ac:dyDescent="0.2">
      <c r="G6806" t="str">
        <f>"65300.01"</f>
        <v>65300.01</v>
      </c>
      <c r="H6806" t="s">
        <v>5023</v>
      </c>
    </row>
    <row r="6807" spans="2:8" x14ac:dyDescent="0.2">
      <c r="G6807" t="str">
        <f>"65300.02"</f>
        <v>65300.02</v>
      </c>
      <c r="H6807" t="s">
        <v>5024</v>
      </c>
    </row>
    <row r="6808" spans="2:8" x14ac:dyDescent="0.2">
      <c r="B6808" t="str">
        <f>"66"</f>
        <v>66</v>
      </c>
      <c r="H6808" t="s">
        <v>5025</v>
      </c>
    </row>
    <row r="6809" spans="2:8" x14ac:dyDescent="0.2">
      <c r="C6809" t="str">
        <f>"661"</f>
        <v>661</v>
      </c>
      <c r="H6809" t="s">
        <v>5026</v>
      </c>
    </row>
    <row r="6810" spans="2:8" x14ac:dyDescent="0.2">
      <c r="D6810" t="str">
        <f>"6611"</f>
        <v>6611</v>
      </c>
      <c r="H6810" t="s">
        <v>5027</v>
      </c>
    </row>
    <row r="6811" spans="2:8" x14ac:dyDescent="0.2">
      <c r="E6811" t="str">
        <f>"66111"</f>
        <v>66111</v>
      </c>
      <c r="H6811" t="s">
        <v>5028</v>
      </c>
    </row>
    <row r="6812" spans="2:8" x14ac:dyDescent="0.2">
      <c r="F6812" t="str">
        <f>"66111.0"</f>
        <v>66111.0</v>
      </c>
      <c r="H6812" t="s">
        <v>5029</v>
      </c>
    </row>
    <row r="6813" spans="2:8" x14ac:dyDescent="0.2">
      <c r="G6813" t="str">
        <f>"66111.01"</f>
        <v>66111.01</v>
      </c>
      <c r="H6813" t="s">
        <v>5030</v>
      </c>
    </row>
    <row r="6814" spans="2:8" x14ac:dyDescent="0.2">
      <c r="G6814" t="str">
        <f>"66111.09"</f>
        <v>66111.09</v>
      </c>
      <c r="H6814" t="s">
        <v>5031</v>
      </c>
    </row>
    <row r="6815" spans="2:8" x14ac:dyDescent="0.2">
      <c r="E6815" t="str">
        <f>"66112"</f>
        <v>66112</v>
      </c>
      <c r="H6815" t="s">
        <v>5032</v>
      </c>
    </row>
    <row r="6816" spans="2:8" x14ac:dyDescent="0.2">
      <c r="F6816" t="str">
        <f>"66112.0"</f>
        <v>66112.0</v>
      </c>
      <c r="H6816" t="s">
        <v>5033</v>
      </c>
    </row>
    <row r="6817" spans="4:8" x14ac:dyDescent="0.2">
      <c r="G6817" t="str">
        <f>"66112.01"</f>
        <v>66112.01</v>
      </c>
      <c r="H6817" t="s">
        <v>5034</v>
      </c>
    </row>
    <row r="6818" spans="4:8" x14ac:dyDescent="0.2">
      <c r="G6818" t="str">
        <f>"66112.09"</f>
        <v>66112.09</v>
      </c>
      <c r="H6818" t="s">
        <v>5035</v>
      </c>
    </row>
    <row r="6819" spans="4:8" x14ac:dyDescent="0.2">
      <c r="E6819" t="str">
        <f>"66113"</f>
        <v>66113</v>
      </c>
      <c r="H6819" t="s">
        <v>5036</v>
      </c>
    </row>
    <row r="6820" spans="4:8" x14ac:dyDescent="0.2">
      <c r="F6820" t="str">
        <f>"66113.0"</f>
        <v>66113.0</v>
      </c>
      <c r="H6820" t="s">
        <v>5037</v>
      </c>
    </row>
    <row r="6821" spans="4:8" x14ac:dyDescent="0.2">
      <c r="G6821" t="str">
        <f>"66113.00"</f>
        <v>66113.00</v>
      </c>
      <c r="H6821" t="s">
        <v>5037</v>
      </c>
    </row>
    <row r="6822" spans="4:8" x14ac:dyDescent="0.2">
      <c r="D6822" t="str">
        <f>"6612"</f>
        <v>6612</v>
      </c>
      <c r="H6822" t="s">
        <v>5038</v>
      </c>
    </row>
    <row r="6823" spans="4:8" x14ac:dyDescent="0.2">
      <c r="E6823" t="str">
        <f>"66121"</f>
        <v>66121</v>
      </c>
      <c r="H6823" t="s">
        <v>5039</v>
      </c>
    </row>
    <row r="6824" spans="4:8" x14ac:dyDescent="0.2">
      <c r="F6824" t="str">
        <f>"66121.0"</f>
        <v>66121.0</v>
      </c>
      <c r="H6824" t="s">
        <v>5040</v>
      </c>
    </row>
    <row r="6825" spans="4:8" x14ac:dyDescent="0.2">
      <c r="G6825" t="str">
        <f>"66121.00"</f>
        <v>66121.00</v>
      </c>
      <c r="H6825" t="s">
        <v>5040</v>
      </c>
    </row>
    <row r="6826" spans="4:8" x14ac:dyDescent="0.2">
      <c r="E6826" t="str">
        <f>"66122"</f>
        <v>66122</v>
      </c>
      <c r="H6826" t="s">
        <v>5041</v>
      </c>
    </row>
    <row r="6827" spans="4:8" x14ac:dyDescent="0.2">
      <c r="F6827" t="str">
        <f>"66122.0"</f>
        <v>66122.0</v>
      </c>
      <c r="H6827" t="s">
        <v>5042</v>
      </c>
    </row>
    <row r="6828" spans="4:8" x14ac:dyDescent="0.2">
      <c r="G6828" t="str">
        <f>"66122.00"</f>
        <v>66122.00</v>
      </c>
      <c r="H6828" t="s">
        <v>5042</v>
      </c>
    </row>
    <row r="6829" spans="4:8" x14ac:dyDescent="0.2">
      <c r="E6829" t="str">
        <f>"66123"</f>
        <v>66123</v>
      </c>
      <c r="H6829" t="s">
        <v>5043</v>
      </c>
    </row>
    <row r="6830" spans="4:8" x14ac:dyDescent="0.2">
      <c r="F6830" t="str">
        <f>"66123.0"</f>
        <v>66123.0</v>
      </c>
      <c r="H6830" t="s">
        <v>5044</v>
      </c>
    </row>
    <row r="6831" spans="4:8" x14ac:dyDescent="0.2">
      <c r="G6831" t="str">
        <f>"66123.00"</f>
        <v>66123.00</v>
      </c>
      <c r="H6831" t="s">
        <v>5044</v>
      </c>
    </row>
    <row r="6832" spans="4:8" x14ac:dyDescent="0.2">
      <c r="D6832" t="str">
        <f>"6619"</f>
        <v>6619</v>
      </c>
      <c r="H6832" t="s">
        <v>5045</v>
      </c>
    </row>
    <row r="6833" spans="5:8" x14ac:dyDescent="0.2">
      <c r="E6833" t="str">
        <f>"66191"</f>
        <v>66191</v>
      </c>
      <c r="H6833" t="s">
        <v>5046</v>
      </c>
    </row>
    <row r="6834" spans="5:8" x14ac:dyDescent="0.2">
      <c r="F6834" t="str">
        <f>"66191.1"</f>
        <v>66191.1</v>
      </c>
      <c r="H6834" t="s">
        <v>5046</v>
      </c>
    </row>
    <row r="6835" spans="5:8" x14ac:dyDescent="0.2">
      <c r="G6835" t="str">
        <f>"66191.10"</f>
        <v>66191.10</v>
      </c>
      <c r="H6835" t="s">
        <v>5046</v>
      </c>
    </row>
    <row r="6836" spans="5:8" x14ac:dyDescent="0.2">
      <c r="F6836" t="str">
        <f>"66191.2"</f>
        <v>66191.2</v>
      </c>
      <c r="H6836" t="s">
        <v>5047</v>
      </c>
    </row>
    <row r="6837" spans="5:8" x14ac:dyDescent="0.2">
      <c r="G6837" t="str">
        <f>"66191.21"</f>
        <v>66191.21</v>
      </c>
      <c r="H6837" t="s">
        <v>5048</v>
      </c>
    </row>
    <row r="6838" spans="5:8" x14ac:dyDescent="0.2">
      <c r="G6838" t="str">
        <f>"66191.22"</f>
        <v>66191.22</v>
      </c>
      <c r="H6838" t="s">
        <v>5049</v>
      </c>
    </row>
    <row r="6839" spans="5:8" x14ac:dyDescent="0.2">
      <c r="G6839" t="str">
        <f>"66191.29"</f>
        <v>66191.29</v>
      </c>
      <c r="H6839" t="s">
        <v>5050</v>
      </c>
    </row>
    <row r="6840" spans="5:8" x14ac:dyDescent="0.2">
      <c r="E6840" t="str">
        <f>"66192"</f>
        <v>66192</v>
      </c>
      <c r="H6840" t="s">
        <v>5051</v>
      </c>
    </row>
    <row r="6841" spans="5:8" x14ac:dyDescent="0.2">
      <c r="F6841" t="str">
        <f>"66192.0"</f>
        <v>66192.0</v>
      </c>
      <c r="H6841" t="s">
        <v>5051</v>
      </c>
    </row>
    <row r="6842" spans="5:8" x14ac:dyDescent="0.2">
      <c r="G6842" t="str">
        <f>"66192.01"</f>
        <v>66192.01</v>
      </c>
      <c r="H6842" t="s">
        <v>5052</v>
      </c>
    </row>
    <row r="6843" spans="5:8" x14ac:dyDescent="0.2">
      <c r="G6843" t="str">
        <f>"66192.02"</f>
        <v>66192.02</v>
      </c>
      <c r="H6843" t="s">
        <v>5051</v>
      </c>
    </row>
    <row r="6844" spans="5:8" x14ac:dyDescent="0.2">
      <c r="E6844" t="str">
        <f>"66193"</f>
        <v>66193</v>
      </c>
      <c r="H6844" t="s">
        <v>5053</v>
      </c>
    </row>
    <row r="6845" spans="5:8" x14ac:dyDescent="0.2">
      <c r="F6845" t="str">
        <f>"66193.0"</f>
        <v>66193.0</v>
      </c>
      <c r="H6845" t="s">
        <v>5053</v>
      </c>
    </row>
    <row r="6846" spans="5:8" x14ac:dyDescent="0.2">
      <c r="G6846" t="str">
        <f>"66193.00"</f>
        <v>66193.00</v>
      </c>
      <c r="H6846" t="s">
        <v>5053</v>
      </c>
    </row>
    <row r="6847" spans="5:8" x14ac:dyDescent="0.2">
      <c r="E6847" t="str">
        <f>"66199"</f>
        <v>66199</v>
      </c>
      <c r="H6847" t="s">
        <v>5054</v>
      </c>
    </row>
    <row r="6848" spans="5:8" x14ac:dyDescent="0.2">
      <c r="F6848" t="str">
        <f>"66199.1"</f>
        <v>66199.1</v>
      </c>
      <c r="H6848" t="s">
        <v>5055</v>
      </c>
    </row>
    <row r="6849" spans="3:8" x14ac:dyDescent="0.2">
      <c r="G6849" t="str">
        <f>"66199.10"</f>
        <v>66199.10</v>
      </c>
      <c r="H6849" t="s">
        <v>5055</v>
      </c>
    </row>
    <row r="6850" spans="3:8" x14ac:dyDescent="0.2">
      <c r="F6850" t="str">
        <f>"66199.9"</f>
        <v>66199.9</v>
      </c>
      <c r="H6850" t="s">
        <v>5056</v>
      </c>
    </row>
    <row r="6851" spans="3:8" x14ac:dyDescent="0.2">
      <c r="G6851" t="str">
        <f>"66199.90"</f>
        <v>66199.90</v>
      </c>
      <c r="H6851" t="s">
        <v>5056</v>
      </c>
    </row>
    <row r="6852" spans="3:8" x14ac:dyDescent="0.2">
      <c r="C6852" t="str">
        <f>"662"</f>
        <v>662</v>
      </c>
      <c r="H6852" t="s">
        <v>5057</v>
      </c>
    </row>
    <row r="6853" spans="3:8" x14ac:dyDescent="0.2">
      <c r="D6853" t="str">
        <f>"6621"</f>
        <v>6621</v>
      </c>
      <c r="H6853" t="s">
        <v>5058</v>
      </c>
    </row>
    <row r="6854" spans="3:8" x14ac:dyDescent="0.2">
      <c r="E6854" t="str">
        <f>"66210"</f>
        <v>66210</v>
      </c>
      <c r="H6854" t="s">
        <v>5058</v>
      </c>
    </row>
    <row r="6855" spans="3:8" x14ac:dyDescent="0.2">
      <c r="F6855" t="str">
        <f>"66210.0"</f>
        <v>66210.0</v>
      </c>
      <c r="H6855" t="s">
        <v>5058</v>
      </c>
    </row>
    <row r="6856" spans="3:8" x14ac:dyDescent="0.2">
      <c r="G6856" t="str">
        <f>"66210.00"</f>
        <v>66210.00</v>
      </c>
      <c r="H6856" t="s">
        <v>5058</v>
      </c>
    </row>
    <row r="6857" spans="3:8" x14ac:dyDescent="0.2">
      <c r="D6857" t="str">
        <f>"6622"</f>
        <v>6622</v>
      </c>
      <c r="H6857" t="s">
        <v>5059</v>
      </c>
    </row>
    <row r="6858" spans="3:8" x14ac:dyDescent="0.2">
      <c r="E6858" t="str">
        <f>"66221"</f>
        <v>66221</v>
      </c>
      <c r="H6858" t="s">
        <v>5060</v>
      </c>
    </row>
    <row r="6859" spans="3:8" x14ac:dyDescent="0.2">
      <c r="F6859" t="str">
        <f>"66221.0"</f>
        <v>66221.0</v>
      </c>
      <c r="H6859" t="s">
        <v>5060</v>
      </c>
    </row>
    <row r="6860" spans="3:8" x14ac:dyDescent="0.2">
      <c r="G6860" t="str">
        <f>"66221.00"</f>
        <v>66221.00</v>
      </c>
      <c r="H6860" t="s">
        <v>5060</v>
      </c>
    </row>
    <row r="6861" spans="3:8" x14ac:dyDescent="0.2">
      <c r="E6861" t="str">
        <f>"66222"</f>
        <v>66222</v>
      </c>
      <c r="H6861" t="s">
        <v>5061</v>
      </c>
    </row>
    <row r="6862" spans="3:8" x14ac:dyDescent="0.2">
      <c r="F6862" t="str">
        <f>"66222.0"</f>
        <v>66222.0</v>
      </c>
      <c r="H6862" t="s">
        <v>5061</v>
      </c>
    </row>
    <row r="6863" spans="3:8" x14ac:dyDescent="0.2">
      <c r="G6863" t="str">
        <f>"66222.00"</f>
        <v>66222.00</v>
      </c>
      <c r="H6863" t="s">
        <v>5061</v>
      </c>
    </row>
    <row r="6864" spans="3:8" x14ac:dyDescent="0.2">
      <c r="D6864" t="str">
        <f>"6629"</f>
        <v>6629</v>
      </c>
      <c r="H6864" t="s">
        <v>5062</v>
      </c>
    </row>
    <row r="6865" spans="1:8" x14ac:dyDescent="0.2">
      <c r="E6865" t="str">
        <f>"66290"</f>
        <v>66290</v>
      </c>
      <c r="H6865" t="s">
        <v>5062</v>
      </c>
    </row>
    <row r="6866" spans="1:8" x14ac:dyDescent="0.2">
      <c r="F6866" t="str">
        <f>"66290.0"</f>
        <v>66290.0</v>
      </c>
      <c r="H6866" t="s">
        <v>5063</v>
      </c>
    </row>
    <row r="6867" spans="1:8" x14ac:dyDescent="0.2">
      <c r="G6867" t="str">
        <f>"66290.01"</f>
        <v>66290.01</v>
      </c>
      <c r="H6867" t="s">
        <v>5064</v>
      </c>
    </row>
    <row r="6868" spans="1:8" x14ac:dyDescent="0.2">
      <c r="G6868" t="str">
        <f>"66290.09"</f>
        <v>66290.09</v>
      </c>
      <c r="H6868" t="s">
        <v>5065</v>
      </c>
    </row>
    <row r="6869" spans="1:8" x14ac:dyDescent="0.2">
      <c r="C6869" t="str">
        <f>"663"</f>
        <v>663</v>
      </c>
      <c r="H6869" t="s">
        <v>5066</v>
      </c>
    </row>
    <row r="6870" spans="1:8" x14ac:dyDescent="0.2">
      <c r="D6870" t="str">
        <f>"6630"</f>
        <v>6630</v>
      </c>
      <c r="H6870" t="s">
        <v>5066</v>
      </c>
    </row>
    <row r="6871" spans="1:8" x14ac:dyDescent="0.2">
      <c r="E6871" t="str">
        <f>"66301"</f>
        <v>66301</v>
      </c>
      <c r="H6871" t="s">
        <v>5067</v>
      </c>
    </row>
    <row r="6872" spans="1:8" x14ac:dyDescent="0.2">
      <c r="F6872" t="str">
        <f>"66301.0"</f>
        <v>66301.0</v>
      </c>
      <c r="H6872" t="s">
        <v>5067</v>
      </c>
    </row>
    <row r="6873" spans="1:8" x14ac:dyDescent="0.2">
      <c r="G6873" t="str">
        <f>"66301.00"</f>
        <v>66301.00</v>
      </c>
      <c r="H6873" t="s">
        <v>5067</v>
      </c>
    </row>
    <row r="6874" spans="1:8" x14ac:dyDescent="0.2">
      <c r="E6874" t="str">
        <f>"66302"</f>
        <v>66302</v>
      </c>
      <c r="H6874" t="s">
        <v>5068</v>
      </c>
    </row>
    <row r="6875" spans="1:8" x14ac:dyDescent="0.2">
      <c r="F6875" t="str">
        <f>"66302.0"</f>
        <v>66302.0</v>
      </c>
      <c r="H6875" t="s">
        <v>5068</v>
      </c>
    </row>
    <row r="6876" spans="1:8" x14ac:dyDescent="0.2">
      <c r="G6876" t="str">
        <f>"66302.00"</f>
        <v>66302.00</v>
      </c>
      <c r="H6876" t="s">
        <v>5068</v>
      </c>
    </row>
    <row r="6877" spans="1:8" x14ac:dyDescent="0.2">
      <c r="A6877" t="s">
        <v>5069</v>
      </c>
      <c r="H6877" t="s">
        <v>5070</v>
      </c>
    </row>
    <row r="6878" spans="1:8" x14ac:dyDescent="0.2">
      <c r="B6878" t="str">
        <f>"68"</f>
        <v>68</v>
      </c>
      <c r="H6878" t="s">
        <v>5070</v>
      </c>
    </row>
    <row r="6879" spans="1:8" x14ac:dyDescent="0.2">
      <c r="C6879" t="str">
        <f>"681"</f>
        <v>681</v>
      </c>
      <c r="H6879" t="s">
        <v>5071</v>
      </c>
    </row>
    <row r="6880" spans="1:8" x14ac:dyDescent="0.2">
      <c r="D6880" t="str">
        <f>"6810"</f>
        <v>6810</v>
      </c>
      <c r="H6880" t="s">
        <v>5071</v>
      </c>
    </row>
    <row r="6881" spans="3:8" x14ac:dyDescent="0.2">
      <c r="E6881" t="str">
        <f>"68101"</f>
        <v>68101</v>
      </c>
      <c r="H6881" t="s">
        <v>5072</v>
      </c>
    </row>
    <row r="6882" spans="3:8" x14ac:dyDescent="0.2">
      <c r="F6882" t="str">
        <f>"68101.0"</f>
        <v>68101.0</v>
      </c>
      <c r="H6882" t="s">
        <v>5073</v>
      </c>
    </row>
    <row r="6883" spans="3:8" x14ac:dyDescent="0.2">
      <c r="G6883" t="str">
        <f>"68101.01"</f>
        <v>68101.01</v>
      </c>
      <c r="H6883" t="s">
        <v>5074</v>
      </c>
    </row>
    <row r="6884" spans="3:8" x14ac:dyDescent="0.2">
      <c r="G6884" t="str">
        <f>"68101.02"</f>
        <v>68101.02</v>
      </c>
      <c r="H6884" t="s">
        <v>5075</v>
      </c>
    </row>
    <row r="6885" spans="3:8" x14ac:dyDescent="0.2">
      <c r="G6885" t="str">
        <f>"68101.03"</f>
        <v>68101.03</v>
      </c>
      <c r="H6885" t="s">
        <v>5076</v>
      </c>
    </row>
    <row r="6886" spans="3:8" x14ac:dyDescent="0.2">
      <c r="E6886" t="str">
        <f>"68102"</f>
        <v>68102</v>
      </c>
      <c r="H6886" t="s">
        <v>5077</v>
      </c>
    </row>
    <row r="6887" spans="3:8" x14ac:dyDescent="0.2">
      <c r="F6887" t="str">
        <f>"68102.0"</f>
        <v>68102.0</v>
      </c>
      <c r="H6887" t="s">
        <v>5078</v>
      </c>
    </row>
    <row r="6888" spans="3:8" x14ac:dyDescent="0.2">
      <c r="G6888" t="str">
        <f>"68102.01"</f>
        <v>68102.01</v>
      </c>
      <c r="H6888" t="s">
        <v>5079</v>
      </c>
    </row>
    <row r="6889" spans="3:8" x14ac:dyDescent="0.2">
      <c r="G6889" t="str">
        <f>"68102.02"</f>
        <v>68102.02</v>
      </c>
      <c r="H6889" t="s">
        <v>5080</v>
      </c>
    </row>
    <row r="6890" spans="3:8" x14ac:dyDescent="0.2">
      <c r="E6890" t="str">
        <f>"68103"</f>
        <v>68103</v>
      </c>
      <c r="H6890" t="s">
        <v>5081</v>
      </c>
    </row>
    <row r="6891" spans="3:8" x14ac:dyDescent="0.2">
      <c r="F6891" t="str">
        <f>"68103.0"</f>
        <v>68103.0</v>
      </c>
      <c r="H6891" t="s">
        <v>5082</v>
      </c>
    </row>
    <row r="6892" spans="3:8" x14ac:dyDescent="0.2">
      <c r="G6892" t="str">
        <f>"68103.00"</f>
        <v>68103.00</v>
      </c>
      <c r="H6892" t="s">
        <v>5082</v>
      </c>
    </row>
    <row r="6893" spans="3:8" x14ac:dyDescent="0.2">
      <c r="E6893" t="str">
        <f>"68104"</f>
        <v>68104</v>
      </c>
      <c r="H6893" t="s">
        <v>5083</v>
      </c>
    </row>
    <row r="6894" spans="3:8" x14ac:dyDescent="0.2">
      <c r="F6894" t="str">
        <f>"68104.0"</f>
        <v>68104.0</v>
      </c>
      <c r="H6894" t="s">
        <v>5083</v>
      </c>
    </row>
    <row r="6895" spans="3:8" x14ac:dyDescent="0.2">
      <c r="G6895" t="str">
        <f>"68104.00"</f>
        <v>68104.00</v>
      </c>
      <c r="H6895" t="s">
        <v>5083</v>
      </c>
    </row>
    <row r="6896" spans="3:8" x14ac:dyDescent="0.2">
      <c r="C6896" t="str">
        <f>"682"</f>
        <v>682</v>
      </c>
      <c r="H6896" t="s">
        <v>5084</v>
      </c>
    </row>
    <row r="6897" spans="1:8" x14ac:dyDescent="0.2">
      <c r="D6897" t="str">
        <f>"6820"</f>
        <v>6820</v>
      </c>
      <c r="H6897" t="s">
        <v>5084</v>
      </c>
    </row>
    <row r="6898" spans="1:8" x14ac:dyDescent="0.2">
      <c r="E6898" t="str">
        <f>"68201"</f>
        <v>68201</v>
      </c>
      <c r="H6898" t="s">
        <v>5085</v>
      </c>
    </row>
    <row r="6899" spans="1:8" x14ac:dyDescent="0.2">
      <c r="F6899" t="str">
        <f>"68201.0"</f>
        <v>68201.0</v>
      </c>
      <c r="H6899" t="s">
        <v>5086</v>
      </c>
    </row>
    <row r="6900" spans="1:8" x14ac:dyDescent="0.2">
      <c r="G6900" t="str">
        <f>"68201.01"</f>
        <v>68201.01</v>
      </c>
      <c r="H6900" t="s">
        <v>5087</v>
      </c>
    </row>
    <row r="6901" spans="1:8" x14ac:dyDescent="0.2">
      <c r="G6901" t="str">
        <f>"68201.02"</f>
        <v>68201.02</v>
      </c>
      <c r="H6901" t="s">
        <v>5088</v>
      </c>
    </row>
    <row r="6902" spans="1:8" x14ac:dyDescent="0.2">
      <c r="G6902" t="str">
        <f>"68201.03"</f>
        <v>68201.03</v>
      </c>
      <c r="H6902" t="s">
        <v>5089</v>
      </c>
    </row>
    <row r="6903" spans="1:8" x14ac:dyDescent="0.2">
      <c r="G6903" t="str">
        <f>"68201.04"</f>
        <v>68201.04</v>
      </c>
      <c r="H6903" t="s">
        <v>5090</v>
      </c>
    </row>
    <row r="6904" spans="1:8" x14ac:dyDescent="0.2">
      <c r="G6904" t="str">
        <f>"68201.05"</f>
        <v>68201.05</v>
      </c>
      <c r="H6904" t="s">
        <v>5091</v>
      </c>
    </row>
    <row r="6905" spans="1:8" x14ac:dyDescent="0.2">
      <c r="G6905" t="str">
        <f>"68201.06"</f>
        <v>68201.06</v>
      </c>
      <c r="H6905" t="s">
        <v>5092</v>
      </c>
    </row>
    <row r="6906" spans="1:8" x14ac:dyDescent="0.2">
      <c r="E6906" t="str">
        <f>"68202"</f>
        <v>68202</v>
      </c>
      <c r="H6906" t="s">
        <v>5093</v>
      </c>
    </row>
    <row r="6907" spans="1:8" x14ac:dyDescent="0.2">
      <c r="F6907" t="str">
        <f>"68202.0"</f>
        <v>68202.0</v>
      </c>
      <c r="H6907" t="s">
        <v>5093</v>
      </c>
    </row>
    <row r="6908" spans="1:8" x14ac:dyDescent="0.2">
      <c r="G6908" t="str">
        <f>"68202.01"</f>
        <v>68202.01</v>
      </c>
      <c r="H6908" t="s">
        <v>5094</v>
      </c>
    </row>
    <row r="6909" spans="1:8" x14ac:dyDescent="0.2">
      <c r="G6909" t="str">
        <f>"68202.02"</f>
        <v>68202.02</v>
      </c>
      <c r="H6909" t="s">
        <v>5095</v>
      </c>
    </row>
    <row r="6910" spans="1:8" x14ac:dyDescent="0.2">
      <c r="G6910" t="str">
        <f>"68202.03"</f>
        <v>68202.03</v>
      </c>
      <c r="H6910" t="s">
        <v>5096</v>
      </c>
    </row>
    <row r="6911" spans="1:8" x14ac:dyDescent="0.2">
      <c r="A6911" t="s">
        <v>5097</v>
      </c>
      <c r="H6911" t="s">
        <v>5098</v>
      </c>
    </row>
    <row r="6912" spans="1:8" x14ac:dyDescent="0.2">
      <c r="B6912" t="str">
        <f>"69"</f>
        <v>69</v>
      </c>
      <c r="H6912" t="s">
        <v>5099</v>
      </c>
    </row>
    <row r="6913" spans="3:8" x14ac:dyDescent="0.2">
      <c r="C6913" t="str">
        <f>"691"</f>
        <v>691</v>
      </c>
      <c r="H6913" t="s">
        <v>5100</v>
      </c>
    </row>
    <row r="6914" spans="3:8" x14ac:dyDescent="0.2">
      <c r="D6914" t="str">
        <f>"6910"</f>
        <v>6910</v>
      </c>
      <c r="H6914" t="s">
        <v>5100</v>
      </c>
    </row>
    <row r="6915" spans="3:8" x14ac:dyDescent="0.2">
      <c r="E6915" t="str">
        <f>"69100"</f>
        <v>69100</v>
      </c>
      <c r="H6915" t="s">
        <v>5100</v>
      </c>
    </row>
    <row r="6916" spans="3:8" x14ac:dyDescent="0.2">
      <c r="F6916" t="str">
        <f>"69100.0"</f>
        <v>69100.0</v>
      </c>
      <c r="H6916" t="s">
        <v>5101</v>
      </c>
    </row>
    <row r="6917" spans="3:8" x14ac:dyDescent="0.2">
      <c r="G6917" t="str">
        <f>"69100.01"</f>
        <v>69100.01</v>
      </c>
      <c r="H6917" t="s">
        <v>5102</v>
      </c>
    </row>
    <row r="6918" spans="3:8" x14ac:dyDescent="0.2">
      <c r="G6918" t="str">
        <f>"69100.02"</f>
        <v>69100.02</v>
      </c>
      <c r="H6918" t="s">
        <v>5103</v>
      </c>
    </row>
    <row r="6919" spans="3:8" x14ac:dyDescent="0.2">
      <c r="G6919" t="str">
        <f>"69100.03"</f>
        <v>69100.03</v>
      </c>
      <c r="H6919" t="s">
        <v>5104</v>
      </c>
    </row>
    <row r="6920" spans="3:8" x14ac:dyDescent="0.2">
      <c r="G6920" t="str">
        <f>"69100.04"</f>
        <v>69100.04</v>
      </c>
      <c r="H6920" t="s">
        <v>5105</v>
      </c>
    </row>
    <row r="6921" spans="3:8" x14ac:dyDescent="0.2">
      <c r="G6921" t="str">
        <f>"69100.05"</f>
        <v>69100.05</v>
      </c>
      <c r="H6921" t="s">
        <v>5106</v>
      </c>
    </row>
    <row r="6922" spans="3:8" x14ac:dyDescent="0.2">
      <c r="G6922" t="str">
        <f>"69100.06"</f>
        <v>69100.06</v>
      </c>
      <c r="H6922" t="s">
        <v>5107</v>
      </c>
    </row>
    <row r="6923" spans="3:8" x14ac:dyDescent="0.2">
      <c r="G6923" t="str">
        <f>"69100.07"</f>
        <v>69100.07</v>
      </c>
      <c r="H6923" t="s">
        <v>5108</v>
      </c>
    </row>
    <row r="6924" spans="3:8" x14ac:dyDescent="0.2">
      <c r="G6924" t="str">
        <f>"69100.08"</f>
        <v>69100.08</v>
      </c>
      <c r="H6924" t="s">
        <v>5109</v>
      </c>
    </row>
    <row r="6925" spans="3:8" x14ac:dyDescent="0.2">
      <c r="G6925" t="str">
        <f>"69100.09"</f>
        <v>69100.09</v>
      </c>
      <c r="H6925" t="s">
        <v>5110</v>
      </c>
    </row>
    <row r="6926" spans="3:8" x14ac:dyDescent="0.2">
      <c r="C6926" t="str">
        <f>"692"</f>
        <v>692</v>
      </c>
      <c r="H6926" t="s">
        <v>5111</v>
      </c>
    </row>
    <row r="6927" spans="3:8" x14ac:dyDescent="0.2">
      <c r="D6927" t="str">
        <f>"6920"</f>
        <v>6920</v>
      </c>
      <c r="H6927" t="s">
        <v>5111</v>
      </c>
    </row>
    <row r="6928" spans="3:8" x14ac:dyDescent="0.2">
      <c r="E6928" t="str">
        <f>"69200"</f>
        <v>69200</v>
      </c>
      <c r="H6928" t="s">
        <v>5111</v>
      </c>
    </row>
    <row r="6929" spans="2:8" x14ac:dyDescent="0.2">
      <c r="F6929" t="str">
        <f>"69200.1"</f>
        <v>69200.1</v>
      </c>
      <c r="H6929" t="s">
        <v>5112</v>
      </c>
    </row>
    <row r="6930" spans="2:8" x14ac:dyDescent="0.2">
      <c r="G6930" t="str">
        <f>"69200.10"</f>
        <v>69200.10</v>
      </c>
      <c r="H6930" t="s">
        <v>5112</v>
      </c>
    </row>
    <row r="6931" spans="2:8" x14ac:dyDescent="0.2">
      <c r="F6931" t="str">
        <f>"69200.2"</f>
        <v>69200.2</v>
      </c>
      <c r="H6931" t="s">
        <v>5113</v>
      </c>
    </row>
    <row r="6932" spans="2:8" x14ac:dyDescent="0.2">
      <c r="G6932" t="str">
        <f>"69200.21"</f>
        <v>69200.21</v>
      </c>
      <c r="H6932" t="s">
        <v>5114</v>
      </c>
    </row>
    <row r="6933" spans="2:8" x14ac:dyDescent="0.2">
      <c r="G6933" t="str">
        <f>"69200.22"</f>
        <v>69200.22</v>
      </c>
      <c r="H6933" t="s">
        <v>5115</v>
      </c>
    </row>
    <row r="6934" spans="2:8" x14ac:dyDescent="0.2">
      <c r="G6934" t="str">
        <f>"69200.23"</f>
        <v>69200.23</v>
      </c>
      <c r="H6934" t="s">
        <v>5116</v>
      </c>
    </row>
    <row r="6935" spans="2:8" x14ac:dyDescent="0.2">
      <c r="G6935" t="str">
        <f>"69200.24"</f>
        <v>69200.24</v>
      </c>
      <c r="H6935" t="s">
        <v>5117</v>
      </c>
    </row>
    <row r="6936" spans="2:8" x14ac:dyDescent="0.2">
      <c r="G6936" t="str">
        <f>"69200.29"</f>
        <v>69200.29</v>
      </c>
      <c r="H6936" t="s">
        <v>5118</v>
      </c>
    </row>
    <row r="6937" spans="2:8" x14ac:dyDescent="0.2">
      <c r="F6937" t="str">
        <f>"69200.3"</f>
        <v>69200.3</v>
      </c>
      <c r="H6937" t="s">
        <v>5119</v>
      </c>
    </row>
    <row r="6938" spans="2:8" x14ac:dyDescent="0.2">
      <c r="G6938" t="str">
        <f>"69200.31"</f>
        <v>69200.31</v>
      </c>
      <c r="H6938" t="s">
        <v>5120</v>
      </c>
    </row>
    <row r="6939" spans="2:8" x14ac:dyDescent="0.2">
      <c r="G6939" t="str">
        <f>"69200.32"</f>
        <v>69200.32</v>
      </c>
      <c r="H6939" t="s">
        <v>5121</v>
      </c>
    </row>
    <row r="6940" spans="2:8" x14ac:dyDescent="0.2">
      <c r="F6940" t="str">
        <f>"69200.4"</f>
        <v>69200.4</v>
      </c>
      <c r="H6940" t="s">
        <v>5122</v>
      </c>
    </row>
    <row r="6941" spans="2:8" x14ac:dyDescent="0.2">
      <c r="G6941" t="str">
        <f>"69200.40"</f>
        <v>69200.40</v>
      </c>
      <c r="H6941" t="s">
        <v>5122</v>
      </c>
    </row>
    <row r="6942" spans="2:8" x14ac:dyDescent="0.2">
      <c r="B6942" t="str">
        <f>"70"</f>
        <v>70</v>
      </c>
      <c r="H6942" t="s">
        <v>5123</v>
      </c>
    </row>
    <row r="6943" spans="2:8" x14ac:dyDescent="0.2">
      <c r="C6943" t="str">
        <f>"701"</f>
        <v>701</v>
      </c>
      <c r="H6943" t="s">
        <v>5124</v>
      </c>
    </row>
    <row r="6944" spans="2:8" x14ac:dyDescent="0.2">
      <c r="D6944" t="str">
        <f>"7010"</f>
        <v>7010</v>
      </c>
      <c r="H6944" t="s">
        <v>5124</v>
      </c>
    </row>
    <row r="6945" spans="3:8" x14ac:dyDescent="0.2">
      <c r="E6945" t="str">
        <f>"70100"</f>
        <v>70100</v>
      </c>
      <c r="H6945" t="s">
        <v>5124</v>
      </c>
    </row>
    <row r="6946" spans="3:8" x14ac:dyDescent="0.2">
      <c r="F6946" t="str">
        <f>"70100.0"</f>
        <v>70100.0</v>
      </c>
      <c r="H6946" t="s">
        <v>5125</v>
      </c>
    </row>
    <row r="6947" spans="3:8" x14ac:dyDescent="0.2">
      <c r="G6947" t="str">
        <f>"70100.00"</f>
        <v>70100.00</v>
      </c>
      <c r="H6947" t="s">
        <v>5125</v>
      </c>
    </row>
    <row r="6948" spans="3:8" x14ac:dyDescent="0.2">
      <c r="C6948" t="str">
        <f>"702"</f>
        <v>702</v>
      </c>
      <c r="H6948" t="s">
        <v>5126</v>
      </c>
    </row>
    <row r="6949" spans="3:8" x14ac:dyDescent="0.2">
      <c r="D6949" t="str">
        <f>"7020"</f>
        <v>7020</v>
      </c>
      <c r="H6949" t="s">
        <v>5126</v>
      </c>
    </row>
    <row r="6950" spans="3:8" x14ac:dyDescent="0.2">
      <c r="E6950" t="str">
        <f>"70201"</f>
        <v>70201</v>
      </c>
      <c r="H6950" t="s">
        <v>5127</v>
      </c>
    </row>
    <row r="6951" spans="3:8" x14ac:dyDescent="0.2">
      <c r="F6951" t="str">
        <f>"70201.0"</f>
        <v>70201.0</v>
      </c>
      <c r="H6951" t="s">
        <v>5127</v>
      </c>
    </row>
    <row r="6952" spans="3:8" x14ac:dyDescent="0.2">
      <c r="G6952" t="str">
        <f>"70201.00"</f>
        <v>70201.00</v>
      </c>
      <c r="H6952" t="s">
        <v>5127</v>
      </c>
    </row>
    <row r="6953" spans="3:8" x14ac:dyDescent="0.2">
      <c r="E6953" t="str">
        <f>"70202"</f>
        <v>70202</v>
      </c>
      <c r="H6953" t="s">
        <v>5128</v>
      </c>
    </row>
    <row r="6954" spans="3:8" x14ac:dyDescent="0.2">
      <c r="F6954" t="str">
        <f>"70202.0"</f>
        <v>70202.0</v>
      </c>
      <c r="H6954" t="s">
        <v>5129</v>
      </c>
    </row>
    <row r="6955" spans="3:8" x14ac:dyDescent="0.2">
      <c r="G6955" t="str">
        <f>"70202.00"</f>
        <v>70202.00</v>
      </c>
      <c r="H6955" t="s">
        <v>5129</v>
      </c>
    </row>
    <row r="6956" spans="3:8" x14ac:dyDescent="0.2">
      <c r="E6956" t="str">
        <f>"70209"</f>
        <v>70209</v>
      </c>
      <c r="H6956" t="s">
        <v>5130</v>
      </c>
    </row>
    <row r="6957" spans="3:8" x14ac:dyDescent="0.2">
      <c r="F6957" t="str">
        <f>"70209.1"</f>
        <v>70209.1</v>
      </c>
      <c r="H6957" t="s">
        <v>5130</v>
      </c>
    </row>
    <row r="6958" spans="3:8" x14ac:dyDescent="0.2">
      <c r="G6958" t="str">
        <f>"70209.11"</f>
        <v>70209.11</v>
      </c>
      <c r="H6958" t="s">
        <v>5131</v>
      </c>
    </row>
    <row r="6959" spans="3:8" x14ac:dyDescent="0.2">
      <c r="G6959" t="str">
        <f>"70209.12"</f>
        <v>70209.12</v>
      </c>
      <c r="H6959" t="s">
        <v>5132</v>
      </c>
    </row>
    <row r="6960" spans="3:8" x14ac:dyDescent="0.2">
      <c r="G6960" t="str">
        <f>"70209.13"</f>
        <v>70209.13</v>
      </c>
      <c r="H6960" t="s">
        <v>5133</v>
      </c>
    </row>
    <row r="6961" spans="2:8" x14ac:dyDescent="0.2">
      <c r="G6961" t="str">
        <f>"70209.14"</f>
        <v>70209.14</v>
      </c>
      <c r="H6961" t="s">
        <v>5134</v>
      </c>
    </row>
    <row r="6962" spans="2:8" x14ac:dyDescent="0.2">
      <c r="G6962" t="str">
        <f>"70209.15"</f>
        <v>70209.15</v>
      </c>
      <c r="H6962" t="s">
        <v>5135</v>
      </c>
    </row>
    <row r="6963" spans="2:8" x14ac:dyDescent="0.2">
      <c r="G6963" t="str">
        <f>"70209.16"</f>
        <v>70209.16</v>
      </c>
      <c r="H6963" t="s">
        <v>5136</v>
      </c>
    </row>
    <row r="6964" spans="2:8" x14ac:dyDescent="0.2">
      <c r="F6964" t="str">
        <f>"70209.2"</f>
        <v>70209.2</v>
      </c>
      <c r="H6964" t="s">
        <v>5137</v>
      </c>
    </row>
    <row r="6965" spans="2:8" x14ac:dyDescent="0.2">
      <c r="G6965" t="str">
        <f>"70209.20"</f>
        <v>70209.20</v>
      </c>
      <c r="H6965" t="s">
        <v>5137</v>
      </c>
    </row>
    <row r="6966" spans="2:8" x14ac:dyDescent="0.2">
      <c r="F6966" t="str">
        <f>"70209.3"</f>
        <v>70209.3</v>
      </c>
      <c r="H6966" t="s">
        <v>5138</v>
      </c>
    </row>
    <row r="6967" spans="2:8" x14ac:dyDescent="0.2">
      <c r="G6967" t="str">
        <f>"70209.30"</f>
        <v>70209.30</v>
      </c>
      <c r="H6967" t="s">
        <v>5138</v>
      </c>
    </row>
    <row r="6968" spans="2:8" x14ac:dyDescent="0.2">
      <c r="F6968" t="str">
        <f>"70209.4"</f>
        <v>70209.4</v>
      </c>
      <c r="H6968" t="s">
        <v>5139</v>
      </c>
    </row>
    <row r="6969" spans="2:8" x14ac:dyDescent="0.2">
      <c r="G6969" t="str">
        <f>"70209.40"</f>
        <v>70209.40</v>
      </c>
      <c r="H6969" t="s">
        <v>5139</v>
      </c>
    </row>
    <row r="6970" spans="2:8" x14ac:dyDescent="0.2">
      <c r="B6970" t="str">
        <f>"71"</f>
        <v>71</v>
      </c>
      <c r="H6970" t="s">
        <v>5140</v>
      </c>
    </row>
    <row r="6971" spans="2:8" x14ac:dyDescent="0.2">
      <c r="C6971" t="str">
        <f>"711"</f>
        <v>711</v>
      </c>
      <c r="H6971" t="s">
        <v>5141</v>
      </c>
    </row>
    <row r="6972" spans="2:8" x14ac:dyDescent="0.2">
      <c r="D6972" t="str">
        <f>"7110"</f>
        <v>7110</v>
      </c>
      <c r="H6972" t="s">
        <v>5141</v>
      </c>
    </row>
    <row r="6973" spans="2:8" x14ac:dyDescent="0.2">
      <c r="E6973" t="str">
        <f>"71101"</f>
        <v>71101</v>
      </c>
      <c r="H6973" t="s">
        <v>5142</v>
      </c>
    </row>
    <row r="6974" spans="2:8" x14ac:dyDescent="0.2">
      <c r="F6974" t="str">
        <f>"71101.1"</f>
        <v>71101.1</v>
      </c>
      <c r="H6974" t="s">
        <v>5143</v>
      </c>
    </row>
    <row r="6975" spans="2:8" x14ac:dyDescent="0.2">
      <c r="G6975" t="str">
        <f>"71101.10"</f>
        <v>71101.10</v>
      </c>
      <c r="H6975" t="s">
        <v>5143</v>
      </c>
    </row>
    <row r="6976" spans="2:8" x14ac:dyDescent="0.2">
      <c r="F6976" t="str">
        <f>"71101.2"</f>
        <v>71101.2</v>
      </c>
      <c r="H6976" t="s">
        <v>5142</v>
      </c>
    </row>
    <row r="6977" spans="5:8" x14ac:dyDescent="0.2">
      <c r="G6977" t="str">
        <f>"71101.21"</f>
        <v>71101.21</v>
      </c>
      <c r="H6977" t="s">
        <v>5144</v>
      </c>
    </row>
    <row r="6978" spans="5:8" x14ac:dyDescent="0.2">
      <c r="G6978" t="str">
        <f>"71101.22"</f>
        <v>71101.22</v>
      </c>
      <c r="H6978" t="s">
        <v>5145</v>
      </c>
    </row>
    <row r="6979" spans="5:8" x14ac:dyDescent="0.2">
      <c r="G6979" t="str">
        <f>"71101.23"</f>
        <v>71101.23</v>
      </c>
      <c r="H6979" t="s">
        <v>5146</v>
      </c>
    </row>
    <row r="6980" spans="5:8" x14ac:dyDescent="0.2">
      <c r="G6980" t="str">
        <f>"71101.24"</f>
        <v>71101.24</v>
      </c>
      <c r="H6980" t="s">
        <v>5147</v>
      </c>
    </row>
    <row r="6981" spans="5:8" x14ac:dyDescent="0.2">
      <c r="F6981" t="str">
        <f>"71101.3"</f>
        <v>71101.3</v>
      </c>
      <c r="H6981" t="s">
        <v>5148</v>
      </c>
    </row>
    <row r="6982" spans="5:8" x14ac:dyDescent="0.2">
      <c r="G6982" t="str">
        <f>"71101.31"</f>
        <v>71101.31</v>
      </c>
      <c r="H6982" t="s">
        <v>5149</v>
      </c>
    </row>
    <row r="6983" spans="5:8" x14ac:dyDescent="0.2">
      <c r="G6983" t="str">
        <f>"71101.32"</f>
        <v>71101.32</v>
      </c>
      <c r="H6983" t="s">
        <v>5150</v>
      </c>
    </row>
    <row r="6984" spans="5:8" x14ac:dyDescent="0.2">
      <c r="G6984" t="str">
        <f>"71101.33"</f>
        <v>71101.33</v>
      </c>
      <c r="H6984" t="s">
        <v>5151</v>
      </c>
    </row>
    <row r="6985" spans="5:8" x14ac:dyDescent="0.2">
      <c r="F6985" t="str">
        <f>"71101.4"</f>
        <v>71101.4</v>
      </c>
      <c r="H6985" t="s">
        <v>5152</v>
      </c>
    </row>
    <row r="6986" spans="5:8" x14ac:dyDescent="0.2">
      <c r="G6986" t="str">
        <f>"71101.41"</f>
        <v>71101.41</v>
      </c>
      <c r="H6986" t="s">
        <v>5153</v>
      </c>
    </row>
    <row r="6987" spans="5:8" x14ac:dyDescent="0.2">
      <c r="G6987" t="str">
        <f>"71101.42"</f>
        <v>71101.42</v>
      </c>
      <c r="H6987" t="s">
        <v>5154</v>
      </c>
    </row>
    <row r="6988" spans="5:8" x14ac:dyDescent="0.2">
      <c r="E6988" t="str">
        <f>"71102"</f>
        <v>71102</v>
      </c>
      <c r="H6988" t="s">
        <v>5155</v>
      </c>
    </row>
    <row r="6989" spans="5:8" x14ac:dyDescent="0.2">
      <c r="F6989" t="str">
        <f>"71102.1"</f>
        <v>71102.1</v>
      </c>
      <c r="H6989" t="s">
        <v>5156</v>
      </c>
    </row>
    <row r="6990" spans="5:8" x14ac:dyDescent="0.2">
      <c r="G6990" t="str">
        <f>"71102.10"</f>
        <v>71102.10</v>
      </c>
      <c r="H6990" t="s">
        <v>5156</v>
      </c>
    </row>
    <row r="6991" spans="5:8" x14ac:dyDescent="0.2">
      <c r="F6991" t="str">
        <f>"71102.2"</f>
        <v>71102.2</v>
      </c>
      <c r="H6991" t="s">
        <v>5157</v>
      </c>
    </row>
    <row r="6992" spans="5:8" x14ac:dyDescent="0.2">
      <c r="G6992" t="str">
        <f>"71102.21"</f>
        <v>71102.21</v>
      </c>
      <c r="H6992" t="s">
        <v>5158</v>
      </c>
    </row>
    <row r="6993" spans="5:8" x14ac:dyDescent="0.2">
      <c r="G6993" t="str">
        <f>"71102.22"</f>
        <v>71102.22</v>
      </c>
      <c r="H6993" t="s">
        <v>5159</v>
      </c>
    </row>
    <row r="6994" spans="5:8" x14ac:dyDescent="0.2">
      <c r="G6994" t="str">
        <f>"71102.23"</f>
        <v>71102.23</v>
      </c>
      <c r="H6994" t="s">
        <v>5160</v>
      </c>
    </row>
    <row r="6995" spans="5:8" x14ac:dyDescent="0.2">
      <c r="G6995" t="str">
        <f>"71102.24"</f>
        <v>71102.24</v>
      </c>
      <c r="H6995" t="s">
        <v>5161</v>
      </c>
    </row>
    <row r="6996" spans="5:8" x14ac:dyDescent="0.2">
      <c r="G6996" t="str">
        <f>"71102.25"</f>
        <v>71102.25</v>
      </c>
      <c r="H6996" t="s">
        <v>5162</v>
      </c>
    </row>
    <row r="6997" spans="5:8" x14ac:dyDescent="0.2">
      <c r="G6997" t="str">
        <f>"71102.26"</f>
        <v>71102.26</v>
      </c>
      <c r="H6997" t="s">
        <v>5163</v>
      </c>
    </row>
    <row r="6998" spans="5:8" x14ac:dyDescent="0.2">
      <c r="G6998" t="str">
        <f>"71102.27"</f>
        <v>71102.27</v>
      </c>
      <c r="H6998" t="s">
        <v>5164</v>
      </c>
    </row>
    <row r="6999" spans="5:8" x14ac:dyDescent="0.2">
      <c r="G6999" t="str">
        <f>"71102.29"</f>
        <v>71102.29</v>
      </c>
      <c r="H6999" t="s">
        <v>5165</v>
      </c>
    </row>
    <row r="7000" spans="5:8" x14ac:dyDescent="0.2">
      <c r="F7000" t="str">
        <f>"71102.3"</f>
        <v>71102.3</v>
      </c>
      <c r="H7000" t="s">
        <v>5166</v>
      </c>
    </row>
    <row r="7001" spans="5:8" x14ac:dyDescent="0.2">
      <c r="G7001" t="str">
        <f>"71102.30"</f>
        <v>71102.30</v>
      </c>
      <c r="H7001" t="s">
        <v>5166</v>
      </c>
    </row>
    <row r="7002" spans="5:8" x14ac:dyDescent="0.2">
      <c r="E7002" t="str">
        <f>"71103"</f>
        <v>71103</v>
      </c>
      <c r="H7002" t="s">
        <v>5167</v>
      </c>
    </row>
    <row r="7003" spans="5:8" x14ac:dyDescent="0.2">
      <c r="F7003" t="str">
        <f>"71103.0"</f>
        <v>71103.0</v>
      </c>
      <c r="H7003" t="s">
        <v>5167</v>
      </c>
    </row>
    <row r="7004" spans="5:8" x14ac:dyDescent="0.2">
      <c r="G7004" t="str">
        <f>"71103.01"</f>
        <v>71103.01</v>
      </c>
      <c r="H7004" t="s">
        <v>5168</v>
      </c>
    </row>
    <row r="7005" spans="5:8" x14ac:dyDescent="0.2">
      <c r="G7005" t="str">
        <f>"71103.02"</f>
        <v>71103.02</v>
      </c>
      <c r="H7005" t="s">
        <v>5169</v>
      </c>
    </row>
    <row r="7006" spans="5:8" x14ac:dyDescent="0.2">
      <c r="G7006" t="str">
        <f>"71103.03"</f>
        <v>71103.03</v>
      </c>
      <c r="H7006" t="s">
        <v>5170</v>
      </c>
    </row>
    <row r="7007" spans="5:8" x14ac:dyDescent="0.2">
      <c r="G7007" t="str">
        <f>"71103.04"</f>
        <v>71103.04</v>
      </c>
      <c r="H7007" t="s">
        <v>5171</v>
      </c>
    </row>
    <row r="7008" spans="5:8" x14ac:dyDescent="0.2">
      <c r="G7008" t="str">
        <f>"71103.05"</f>
        <v>71103.05</v>
      </c>
      <c r="H7008" t="s">
        <v>5172</v>
      </c>
    </row>
    <row r="7009" spans="2:8" x14ac:dyDescent="0.2">
      <c r="C7009" t="str">
        <f>"712"</f>
        <v>712</v>
      </c>
      <c r="H7009" t="s">
        <v>5173</v>
      </c>
    </row>
    <row r="7010" spans="2:8" x14ac:dyDescent="0.2">
      <c r="D7010" t="str">
        <f>"7120"</f>
        <v>7120</v>
      </c>
      <c r="H7010" t="s">
        <v>5173</v>
      </c>
    </row>
    <row r="7011" spans="2:8" x14ac:dyDescent="0.2">
      <c r="E7011" t="str">
        <f>"71201"</f>
        <v>71201</v>
      </c>
      <c r="H7011" t="s">
        <v>5174</v>
      </c>
    </row>
    <row r="7012" spans="2:8" x14ac:dyDescent="0.2">
      <c r="F7012" t="str">
        <f>"71201.0"</f>
        <v>71201.0</v>
      </c>
      <c r="H7012" t="s">
        <v>5174</v>
      </c>
    </row>
    <row r="7013" spans="2:8" x14ac:dyDescent="0.2">
      <c r="G7013" t="str">
        <f>"71201.01"</f>
        <v>71201.01</v>
      </c>
      <c r="H7013" t="s">
        <v>5175</v>
      </c>
    </row>
    <row r="7014" spans="2:8" x14ac:dyDescent="0.2">
      <c r="G7014" t="str">
        <f>"71201.02"</f>
        <v>71201.02</v>
      </c>
      <c r="H7014" t="s">
        <v>5176</v>
      </c>
    </row>
    <row r="7015" spans="2:8" x14ac:dyDescent="0.2">
      <c r="E7015" t="str">
        <f>"71202"</f>
        <v>71202</v>
      </c>
      <c r="H7015" t="s">
        <v>5177</v>
      </c>
    </row>
    <row r="7016" spans="2:8" x14ac:dyDescent="0.2">
      <c r="F7016" t="str">
        <f>"71202.0"</f>
        <v>71202.0</v>
      </c>
      <c r="H7016" t="s">
        <v>5177</v>
      </c>
    </row>
    <row r="7017" spans="2:8" x14ac:dyDescent="0.2">
      <c r="G7017" t="str">
        <f>"71202.00"</f>
        <v>71202.00</v>
      </c>
      <c r="H7017" t="s">
        <v>5177</v>
      </c>
    </row>
    <row r="7018" spans="2:8" x14ac:dyDescent="0.2">
      <c r="E7018" t="str">
        <f>"71209"</f>
        <v>71209</v>
      </c>
      <c r="H7018" t="s">
        <v>5178</v>
      </c>
    </row>
    <row r="7019" spans="2:8" x14ac:dyDescent="0.2">
      <c r="F7019" t="str">
        <f>"71209.0"</f>
        <v>71209.0</v>
      </c>
      <c r="H7019" t="s">
        <v>5178</v>
      </c>
    </row>
    <row r="7020" spans="2:8" x14ac:dyDescent="0.2">
      <c r="G7020" t="str">
        <f>"71209.01"</f>
        <v>71209.01</v>
      </c>
      <c r="H7020" t="s">
        <v>5179</v>
      </c>
    </row>
    <row r="7021" spans="2:8" x14ac:dyDescent="0.2">
      <c r="G7021" t="str">
        <f>"71209.09"</f>
        <v>71209.09</v>
      </c>
      <c r="H7021" t="s">
        <v>5180</v>
      </c>
    </row>
    <row r="7022" spans="2:8" x14ac:dyDescent="0.2">
      <c r="B7022" t="str">
        <f>"72"</f>
        <v>72</v>
      </c>
      <c r="H7022" t="s">
        <v>5181</v>
      </c>
    </row>
    <row r="7023" spans="2:8" x14ac:dyDescent="0.2">
      <c r="C7023" t="str">
        <f>"721"</f>
        <v>721</v>
      </c>
      <c r="H7023" t="s">
        <v>5182</v>
      </c>
    </row>
    <row r="7024" spans="2:8" x14ac:dyDescent="0.2">
      <c r="D7024" t="str">
        <f>"7210"</f>
        <v>7210</v>
      </c>
      <c r="H7024" t="s">
        <v>5182</v>
      </c>
    </row>
    <row r="7025" spans="5:8" x14ac:dyDescent="0.2">
      <c r="E7025" t="str">
        <f>"72101"</f>
        <v>72101</v>
      </c>
      <c r="H7025" t="s">
        <v>5183</v>
      </c>
    </row>
    <row r="7026" spans="5:8" x14ac:dyDescent="0.2">
      <c r="F7026" t="str">
        <f>"72101.1"</f>
        <v>72101.1</v>
      </c>
      <c r="H7026" t="s">
        <v>5183</v>
      </c>
    </row>
    <row r="7027" spans="5:8" x14ac:dyDescent="0.2">
      <c r="G7027" t="str">
        <f>"72101.11"</f>
        <v>72101.11</v>
      </c>
      <c r="H7027" t="s">
        <v>5184</v>
      </c>
    </row>
    <row r="7028" spans="5:8" x14ac:dyDescent="0.2">
      <c r="G7028" t="str">
        <f>"72101.12"</f>
        <v>72101.12</v>
      </c>
      <c r="H7028" t="s">
        <v>5185</v>
      </c>
    </row>
    <row r="7029" spans="5:8" x14ac:dyDescent="0.2">
      <c r="G7029" t="str">
        <f>"72101.13"</f>
        <v>72101.13</v>
      </c>
      <c r="H7029" t="s">
        <v>5186</v>
      </c>
    </row>
    <row r="7030" spans="5:8" x14ac:dyDescent="0.2">
      <c r="G7030" t="str">
        <f>"72101.14"</f>
        <v>72101.14</v>
      </c>
      <c r="H7030" t="s">
        <v>5187</v>
      </c>
    </row>
    <row r="7031" spans="5:8" x14ac:dyDescent="0.2">
      <c r="G7031" t="str">
        <f>"72101.15"</f>
        <v>72101.15</v>
      </c>
      <c r="H7031" t="s">
        <v>5188</v>
      </c>
    </row>
    <row r="7032" spans="5:8" x14ac:dyDescent="0.2">
      <c r="G7032" t="str">
        <f>"72101.16"</f>
        <v>72101.16</v>
      </c>
      <c r="H7032" t="s">
        <v>5189</v>
      </c>
    </row>
    <row r="7033" spans="5:8" x14ac:dyDescent="0.2">
      <c r="G7033" t="str">
        <f>"72101.19"</f>
        <v>72101.19</v>
      </c>
      <c r="H7033" t="s">
        <v>5190</v>
      </c>
    </row>
    <row r="7034" spans="5:8" x14ac:dyDescent="0.2">
      <c r="F7034" t="str">
        <f>"72101.2"</f>
        <v>72101.2</v>
      </c>
      <c r="H7034" t="s">
        <v>5191</v>
      </c>
    </row>
    <row r="7035" spans="5:8" x14ac:dyDescent="0.2">
      <c r="G7035" t="str">
        <f>"72101.20"</f>
        <v>72101.20</v>
      </c>
      <c r="H7035" t="s">
        <v>5191</v>
      </c>
    </row>
    <row r="7036" spans="5:8" x14ac:dyDescent="0.2">
      <c r="F7036" t="str">
        <f>"72101.3"</f>
        <v>72101.3</v>
      </c>
      <c r="H7036" t="s">
        <v>5192</v>
      </c>
    </row>
    <row r="7037" spans="5:8" x14ac:dyDescent="0.2">
      <c r="G7037" t="str">
        <f>"72101.30"</f>
        <v>72101.30</v>
      </c>
      <c r="H7037" t="s">
        <v>5192</v>
      </c>
    </row>
    <row r="7038" spans="5:8" x14ac:dyDescent="0.2">
      <c r="F7038" t="str">
        <f>"72101.4"</f>
        <v>72101.4</v>
      </c>
      <c r="H7038" t="s">
        <v>5193</v>
      </c>
    </row>
    <row r="7039" spans="5:8" x14ac:dyDescent="0.2">
      <c r="G7039" t="str">
        <f>"72101.40"</f>
        <v>72101.40</v>
      </c>
      <c r="H7039" t="s">
        <v>5193</v>
      </c>
    </row>
    <row r="7040" spans="5:8" x14ac:dyDescent="0.2">
      <c r="E7040" t="str">
        <f>"72102"</f>
        <v>72102</v>
      </c>
      <c r="H7040" t="s">
        <v>5194</v>
      </c>
    </row>
    <row r="7041" spans="3:8" x14ac:dyDescent="0.2">
      <c r="F7041" t="str">
        <f>"72102.1"</f>
        <v>72102.1</v>
      </c>
      <c r="H7041" t="s">
        <v>5194</v>
      </c>
    </row>
    <row r="7042" spans="3:8" x14ac:dyDescent="0.2">
      <c r="G7042" t="str">
        <f>"72102.11"</f>
        <v>72102.11</v>
      </c>
      <c r="H7042" t="s">
        <v>5195</v>
      </c>
    </row>
    <row r="7043" spans="3:8" x14ac:dyDescent="0.2">
      <c r="G7043" t="str">
        <f>"72102.12"</f>
        <v>72102.12</v>
      </c>
      <c r="H7043" t="s">
        <v>5196</v>
      </c>
    </row>
    <row r="7044" spans="3:8" x14ac:dyDescent="0.2">
      <c r="G7044" t="str">
        <f>"72102.13"</f>
        <v>72102.13</v>
      </c>
      <c r="H7044" t="s">
        <v>5197</v>
      </c>
    </row>
    <row r="7045" spans="3:8" x14ac:dyDescent="0.2">
      <c r="F7045" t="str">
        <f>"72102.2"</f>
        <v>72102.2</v>
      </c>
      <c r="H7045" t="s">
        <v>5198</v>
      </c>
    </row>
    <row r="7046" spans="3:8" x14ac:dyDescent="0.2">
      <c r="G7046" t="str">
        <f>"72102.20"</f>
        <v>72102.20</v>
      </c>
      <c r="H7046" t="s">
        <v>5198</v>
      </c>
    </row>
    <row r="7047" spans="3:8" x14ac:dyDescent="0.2">
      <c r="E7047" t="str">
        <f>"72109"</f>
        <v>72109</v>
      </c>
      <c r="H7047" t="s">
        <v>5199</v>
      </c>
    </row>
    <row r="7048" spans="3:8" x14ac:dyDescent="0.2">
      <c r="F7048" t="str">
        <f>"72109.1"</f>
        <v>72109.1</v>
      </c>
      <c r="H7048" t="s">
        <v>5199</v>
      </c>
    </row>
    <row r="7049" spans="3:8" x14ac:dyDescent="0.2">
      <c r="G7049" t="str">
        <f>"72109.11"</f>
        <v>72109.11</v>
      </c>
      <c r="H7049" t="s">
        <v>5200</v>
      </c>
    </row>
    <row r="7050" spans="3:8" x14ac:dyDescent="0.2">
      <c r="G7050" t="str">
        <f>"72109.19"</f>
        <v>72109.19</v>
      </c>
      <c r="H7050" t="s">
        <v>5201</v>
      </c>
    </row>
    <row r="7051" spans="3:8" x14ac:dyDescent="0.2">
      <c r="F7051" t="str">
        <f>"72109.2"</f>
        <v>72109.2</v>
      </c>
      <c r="H7051" t="s">
        <v>5202</v>
      </c>
    </row>
    <row r="7052" spans="3:8" x14ac:dyDescent="0.2">
      <c r="G7052" t="str">
        <f>"72109.20"</f>
        <v>72109.20</v>
      </c>
      <c r="H7052" t="s">
        <v>5202</v>
      </c>
    </row>
    <row r="7053" spans="3:8" x14ac:dyDescent="0.2">
      <c r="C7053" t="str">
        <f>"722"</f>
        <v>722</v>
      </c>
      <c r="H7053" t="s">
        <v>5203</v>
      </c>
    </row>
    <row r="7054" spans="3:8" x14ac:dyDescent="0.2">
      <c r="D7054" t="str">
        <f>"7220"</f>
        <v>7220</v>
      </c>
      <c r="H7054" t="s">
        <v>5203</v>
      </c>
    </row>
    <row r="7055" spans="3:8" x14ac:dyDescent="0.2">
      <c r="E7055" t="str">
        <f>"72200"</f>
        <v>72200</v>
      </c>
      <c r="H7055" t="s">
        <v>5203</v>
      </c>
    </row>
    <row r="7056" spans="3:8" x14ac:dyDescent="0.2">
      <c r="F7056" t="str">
        <f>"72200.1"</f>
        <v>72200.1</v>
      </c>
      <c r="H7056" t="s">
        <v>5204</v>
      </c>
    </row>
    <row r="7057" spans="2:8" x14ac:dyDescent="0.2">
      <c r="G7057" t="str">
        <f>"72200.11"</f>
        <v>72200.11</v>
      </c>
      <c r="H7057" t="s">
        <v>5205</v>
      </c>
    </row>
    <row r="7058" spans="2:8" x14ac:dyDescent="0.2">
      <c r="G7058" t="str">
        <f>"72200.12"</f>
        <v>72200.12</v>
      </c>
      <c r="H7058" t="s">
        <v>5206</v>
      </c>
    </row>
    <row r="7059" spans="2:8" x14ac:dyDescent="0.2">
      <c r="G7059" t="str">
        <f>"72200.13"</f>
        <v>72200.13</v>
      </c>
      <c r="H7059" t="s">
        <v>5207</v>
      </c>
    </row>
    <row r="7060" spans="2:8" x14ac:dyDescent="0.2">
      <c r="G7060" t="str">
        <f>"72200.19"</f>
        <v>72200.19</v>
      </c>
      <c r="H7060" t="s">
        <v>5208</v>
      </c>
    </row>
    <row r="7061" spans="2:8" x14ac:dyDescent="0.2">
      <c r="F7061" t="str">
        <f>"72200.2"</f>
        <v>72200.2</v>
      </c>
      <c r="H7061" t="s">
        <v>5209</v>
      </c>
    </row>
    <row r="7062" spans="2:8" x14ac:dyDescent="0.2">
      <c r="G7062" t="str">
        <f>"72200.21"</f>
        <v>72200.21</v>
      </c>
      <c r="H7062" t="s">
        <v>5210</v>
      </c>
    </row>
    <row r="7063" spans="2:8" x14ac:dyDescent="0.2">
      <c r="G7063" t="str">
        <f>"72200.29"</f>
        <v>72200.29</v>
      </c>
      <c r="H7063" t="s">
        <v>5211</v>
      </c>
    </row>
    <row r="7064" spans="2:8" x14ac:dyDescent="0.2">
      <c r="F7064" t="str">
        <f>"72200.3"</f>
        <v>72200.3</v>
      </c>
      <c r="H7064" t="s">
        <v>5212</v>
      </c>
    </row>
    <row r="7065" spans="2:8" x14ac:dyDescent="0.2">
      <c r="G7065" t="str">
        <f>"72200.30"</f>
        <v>72200.30</v>
      </c>
      <c r="H7065" t="s">
        <v>5212</v>
      </c>
    </row>
    <row r="7066" spans="2:8" x14ac:dyDescent="0.2">
      <c r="B7066" t="str">
        <f>"73"</f>
        <v>73</v>
      </c>
      <c r="H7066" t="s">
        <v>5213</v>
      </c>
    </row>
    <row r="7067" spans="2:8" x14ac:dyDescent="0.2">
      <c r="C7067" t="str">
        <f>"731"</f>
        <v>731</v>
      </c>
      <c r="H7067" t="s">
        <v>5214</v>
      </c>
    </row>
    <row r="7068" spans="2:8" x14ac:dyDescent="0.2">
      <c r="D7068" t="str">
        <f>"7310"</f>
        <v>7310</v>
      </c>
      <c r="H7068" t="s">
        <v>5214</v>
      </c>
    </row>
    <row r="7069" spans="2:8" x14ac:dyDescent="0.2">
      <c r="E7069" t="str">
        <f>"73101"</f>
        <v>73101</v>
      </c>
      <c r="H7069" t="s">
        <v>5215</v>
      </c>
    </row>
    <row r="7070" spans="2:8" x14ac:dyDescent="0.2">
      <c r="F7070" t="str">
        <f>"73101.0"</f>
        <v>73101.0</v>
      </c>
      <c r="H7070" t="s">
        <v>5215</v>
      </c>
    </row>
    <row r="7071" spans="2:8" x14ac:dyDescent="0.2">
      <c r="G7071" t="str">
        <f>"73101.01"</f>
        <v>73101.01</v>
      </c>
      <c r="H7071" t="s">
        <v>5216</v>
      </c>
    </row>
    <row r="7072" spans="2:8" x14ac:dyDescent="0.2">
      <c r="G7072" t="str">
        <f>"73101.02"</f>
        <v>73101.02</v>
      </c>
      <c r="H7072" t="s">
        <v>5217</v>
      </c>
    </row>
    <row r="7073" spans="3:8" x14ac:dyDescent="0.2">
      <c r="G7073" t="str">
        <f>"73101.03"</f>
        <v>73101.03</v>
      </c>
      <c r="H7073" t="s">
        <v>5218</v>
      </c>
    </row>
    <row r="7074" spans="3:8" x14ac:dyDescent="0.2">
      <c r="G7074" t="str">
        <f>"73101.09"</f>
        <v>73101.09</v>
      </c>
      <c r="H7074" t="s">
        <v>5219</v>
      </c>
    </row>
    <row r="7075" spans="3:8" x14ac:dyDescent="0.2">
      <c r="E7075" t="str">
        <f>"73102"</f>
        <v>73102</v>
      </c>
      <c r="H7075" t="s">
        <v>5220</v>
      </c>
    </row>
    <row r="7076" spans="3:8" x14ac:dyDescent="0.2">
      <c r="F7076" t="str">
        <f>"73102.0"</f>
        <v>73102.0</v>
      </c>
      <c r="H7076" t="s">
        <v>5220</v>
      </c>
    </row>
    <row r="7077" spans="3:8" x14ac:dyDescent="0.2">
      <c r="G7077" t="str">
        <f>"73102.01"</f>
        <v>73102.01</v>
      </c>
      <c r="H7077" t="s">
        <v>5221</v>
      </c>
    </row>
    <row r="7078" spans="3:8" x14ac:dyDescent="0.2">
      <c r="G7078" t="str">
        <f>"73102.02"</f>
        <v>73102.02</v>
      </c>
      <c r="H7078" t="s">
        <v>5222</v>
      </c>
    </row>
    <row r="7079" spans="3:8" x14ac:dyDescent="0.2">
      <c r="G7079" t="str">
        <f>"73102.03"</f>
        <v>73102.03</v>
      </c>
      <c r="H7079" t="s">
        <v>5223</v>
      </c>
    </row>
    <row r="7080" spans="3:8" x14ac:dyDescent="0.2">
      <c r="G7080" t="str">
        <f>"73102.04"</f>
        <v>73102.04</v>
      </c>
      <c r="H7080" t="s">
        <v>5224</v>
      </c>
    </row>
    <row r="7081" spans="3:8" x14ac:dyDescent="0.2">
      <c r="G7081" t="str">
        <f>"73102.05"</f>
        <v>73102.05</v>
      </c>
      <c r="H7081" t="s">
        <v>5225</v>
      </c>
    </row>
    <row r="7082" spans="3:8" x14ac:dyDescent="0.2">
      <c r="G7082" t="str">
        <f>"73102.06"</f>
        <v>73102.06</v>
      </c>
      <c r="H7082" t="s">
        <v>5226</v>
      </c>
    </row>
    <row r="7083" spans="3:8" x14ac:dyDescent="0.2">
      <c r="C7083" t="str">
        <f>"732"</f>
        <v>732</v>
      </c>
      <c r="H7083" t="s">
        <v>5227</v>
      </c>
    </row>
    <row r="7084" spans="3:8" x14ac:dyDescent="0.2">
      <c r="D7084" t="str">
        <f>"7320"</f>
        <v>7320</v>
      </c>
      <c r="H7084" t="s">
        <v>5227</v>
      </c>
    </row>
    <row r="7085" spans="3:8" x14ac:dyDescent="0.2">
      <c r="E7085" t="str">
        <f>"73200"</f>
        <v>73200</v>
      </c>
      <c r="H7085" t="s">
        <v>5227</v>
      </c>
    </row>
    <row r="7086" spans="3:8" x14ac:dyDescent="0.2">
      <c r="F7086" t="str">
        <f>"73200.1"</f>
        <v>73200.1</v>
      </c>
      <c r="H7086" t="s">
        <v>5228</v>
      </c>
    </row>
    <row r="7087" spans="3:8" x14ac:dyDescent="0.2">
      <c r="G7087" t="str">
        <f>"73200.10"</f>
        <v>73200.10</v>
      </c>
      <c r="H7087" t="s">
        <v>5228</v>
      </c>
    </row>
    <row r="7088" spans="3:8" x14ac:dyDescent="0.2">
      <c r="F7088" t="str">
        <f>"73200.2"</f>
        <v>73200.2</v>
      </c>
      <c r="H7088" t="s">
        <v>5229</v>
      </c>
    </row>
    <row r="7089" spans="2:8" x14ac:dyDescent="0.2">
      <c r="G7089" t="str">
        <f>"73200.20"</f>
        <v>73200.20</v>
      </c>
      <c r="H7089" t="s">
        <v>5229</v>
      </c>
    </row>
    <row r="7090" spans="2:8" x14ac:dyDescent="0.2">
      <c r="B7090" t="str">
        <f>"74"</f>
        <v>74</v>
      </c>
      <c r="H7090" t="s">
        <v>5230</v>
      </c>
    </row>
    <row r="7091" spans="2:8" x14ac:dyDescent="0.2">
      <c r="C7091" t="str">
        <f>"741"</f>
        <v>741</v>
      </c>
      <c r="H7091" t="s">
        <v>5231</v>
      </c>
    </row>
    <row r="7092" spans="2:8" x14ac:dyDescent="0.2">
      <c r="D7092" t="str">
        <f>"7410"</f>
        <v>7410</v>
      </c>
      <c r="H7092" t="s">
        <v>5231</v>
      </c>
    </row>
    <row r="7093" spans="2:8" x14ac:dyDescent="0.2">
      <c r="E7093" t="str">
        <f>"74101"</f>
        <v>74101</v>
      </c>
      <c r="H7093" t="s">
        <v>5232</v>
      </c>
    </row>
    <row r="7094" spans="2:8" x14ac:dyDescent="0.2">
      <c r="F7094" t="str">
        <f>"74101.1"</f>
        <v>74101.1</v>
      </c>
      <c r="H7094" t="s">
        <v>5232</v>
      </c>
    </row>
    <row r="7095" spans="2:8" x14ac:dyDescent="0.2">
      <c r="G7095" t="str">
        <f>"74101.10"</f>
        <v>74101.10</v>
      </c>
      <c r="H7095" t="s">
        <v>5232</v>
      </c>
    </row>
    <row r="7096" spans="2:8" x14ac:dyDescent="0.2">
      <c r="F7096" t="str">
        <f>"74101.2"</f>
        <v>74101.2</v>
      </c>
      <c r="H7096" t="s">
        <v>5233</v>
      </c>
    </row>
    <row r="7097" spans="2:8" x14ac:dyDescent="0.2">
      <c r="G7097" t="str">
        <f>"74101.20"</f>
        <v>74101.20</v>
      </c>
      <c r="H7097" t="s">
        <v>5233</v>
      </c>
    </row>
    <row r="7098" spans="2:8" x14ac:dyDescent="0.2">
      <c r="E7098" t="str">
        <f>"74109"</f>
        <v>74109</v>
      </c>
      <c r="H7098" t="s">
        <v>5234</v>
      </c>
    </row>
    <row r="7099" spans="2:8" x14ac:dyDescent="0.2">
      <c r="F7099" t="str">
        <f>"74109.1"</f>
        <v>74109.1</v>
      </c>
      <c r="H7099" t="s">
        <v>5235</v>
      </c>
    </row>
    <row r="7100" spans="2:8" x14ac:dyDescent="0.2">
      <c r="G7100" t="str">
        <f>"74109.11"</f>
        <v>74109.11</v>
      </c>
      <c r="H7100" t="s">
        <v>5236</v>
      </c>
    </row>
    <row r="7101" spans="2:8" x14ac:dyDescent="0.2">
      <c r="G7101" t="str">
        <f>"74109.19"</f>
        <v>74109.19</v>
      </c>
      <c r="H7101" t="s">
        <v>5237</v>
      </c>
    </row>
    <row r="7102" spans="2:8" x14ac:dyDescent="0.2">
      <c r="F7102" t="str">
        <f>"74109.2"</f>
        <v>74109.2</v>
      </c>
      <c r="H7102" t="s">
        <v>5238</v>
      </c>
    </row>
    <row r="7103" spans="2:8" x14ac:dyDescent="0.2">
      <c r="G7103" t="str">
        <f>"74109.20"</f>
        <v>74109.20</v>
      </c>
      <c r="H7103" t="s">
        <v>5238</v>
      </c>
    </row>
    <row r="7104" spans="2:8" x14ac:dyDescent="0.2">
      <c r="C7104" t="str">
        <f>"742"</f>
        <v>742</v>
      </c>
      <c r="H7104" t="s">
        <v>5239</v>
      </c>
    </row>
    <row r="7105" spans="4:8" x14ac:dyDescent="0.2">
      <c r="D7105" t="str">
        <f>"7420"</f>
        <v>7420</v>
      </c>
      <c r="H7105" t="s">
        <v>5239</v>
      </c>
    </row>
    <row r="7106" spans="4:8" x14ac:dyDescent="0.2">
      <c r="E7106" t="str">
        <f>"74200"</f>
        <v>74200</v>
      </c>
      <c r="H7106" t="s">
        <v>5239</v>
      </c>
    </row>
    <row r="7107" spans="4:8" x14ac:dyDescent="0.2">
      <c r="F7107" t="str">
        <f>"74200.1"</f>
        <v>74200.1</v>
      </c>
      <c r="H7107" t="s">
        <v>5240</v>
      </c>
    </row>
    <row r="7108" spans="4:8" x14ac:dyDescent="0.2">
      <c r="G7108" t="str">
        <f>"74200.11"</f>
        <v>74200.11</v>
      </c>
      <c r="H7108" t="s">
        <v>5241</v>
      </c>
    </row>
    <row r="7109" spans="4:8" x14ac:dyDescent="0.2">
      <c r="G7109" t="str">
        <f>"74200.12"</f>
        <v>74200.12</v>
      </c>
      <c r="H7109" t="s">
        <v>5242</v>
      </c>
    </row>
    <row r="7110" spans="4:8" x14ac:dyDescent="0.2">
      <c r="G7110" t="str">
        <f>"74200.19"</f>
        <v>74200.19</v>
      </c>
      <c r="H7110" t="s">
        <v>5243</v>
      </c>
    </row>
    <row r="7111" spans="4:8" x14ac:dyDescent="0.2">
      <c r="F7111" t="str">
        <f>"74200.2"</f>
        <v>74200.2</v>
      </c>
      <c r="H7111" t="s">
        <v>5244</v>
      </c>
    </row>
    <row r="7112" spans="4:8" x14ac:dyDescent="0.2">
      <c r="G7112" t="str">
        <f>"74200.21"</f>
        <v>74200.21</v>
      </c>
      <c r="H7112" t="s">
        <v>5245</v>
      </c>
    </row>
    <row r="7113" spans="4:8" x14ac:dyDescent="0.2">
      <c r="G7113" t="str">
        <f>"74200.22"</f>
        <v>74200.22</v>
      </c>
      <c r="H7113" t="s">
        <v>5246</v>
      </c>
    </row>
    <row r="7114" spans="4:8" x14ac:dyDescent="0.2">
      <c r="G7114" t="str">
        <f>"74200.23"</f>
        <v>74200.23</v>
      </c>
      <c r="H7114" t="s">
        <v>5247</v>
      </c>
    </row>
    <row r="7115" spans="4:8" x14ac:dyDescent="0.2">
      <c r="G7115" t="str">
        <f>"74200.24"</f>
        <v>74200.24</v>
      </c>
      <c r="H7115" t="s">
        <v>5248</v>
      </c>
    </row>
    <row r="7116" spans="4:8" x14ac:dyDescent="0.2">
      <c r="G7116" t="str">
        <f>"74200.29"</f>
        <v>74200.29</v>
      </c>
      <c r="H7116" t="s">
        <v>5249</v>
      </c>
    </row>
    <row r="7117" spans="4:8" x14ac:dyDescent="0.2">
      <c r="F7117" t="str">
        <f>"74200.3"</f>
        <v>74200.3</v>
      </c>
      <c r="H7117" t="s">
        <v>5250</v>
      </c>
    </row>
    <row r="7118" spans="4:8" x14ac:dyDescent="0.2">
      <c r="G7118" t="str">
        <f>"74200.31"</f>
        <v>74200.31</v>
      </c>
      <c r="H7118" t="s">
        <v>5251</v>
      </c>
    </row>
    <row r="7119" spans="4:8" x14ac:dyDescent="0.2">
      <c r="G7119" t="str">
        <f>"74200.32"</f>
        <v>74200.32</v>
      </c>
      <c r="H7119" t="s">
        <v>5252</v>
      </c>
    </row>
    <row r="7120" spans="4:8" x14ac:dyDescent="0.2">
      <c r="G7120" t="str">
        <f>"74200.39"</f>
        <v>74200.39</v>
      </c>
      <c r="H7120" t="s">
        <v>5253</v>
      </c>
    </row>
    <row r="7121" spans="3:8" x14ac:dyDescent="0.2">
      <c r="C7121" t="str">
        <f>"749"</f>
        <v>749</v>
      </c>
      <c r="H7121" t="s">
        <v>5254</v>
      </c>
    </row>
    <row r="7122" spans="3:8" x14ac:dyDescent="0.2">
      <c r="D7122" t="str">
        <f>"7490"</f>
        <v>7490</v>
      </c>
      <c r="H7122" t="s">
        <v>5254</v>
      </c>
    </row>
    <row r="7123" spans="3:8" x14ac:dyDescent="0.2">
      <c r="E7123" t="str">
        <f>"74901"</f>
        <v>74901</v>
      </c>
      <c r="H7123" t="s">
        <v>5255</v>
      </c>
    </row>
    <row r="7124" spans="3:8" x14ac:dyDescent="0.2">
      <c r="F7124" t="str">
        <f>"74901.0"</f>
        <v>74901.0</v>
      </c>
      <c r="H7124" t="s">
        <v>5255</v>
      </c>
    </row>
    <row r="7125" spans="3:8" x14ac:dyDescent="0.2">
      <c r="G7125" t="str">
        <f>"74901.01"</f>
        <v>74901.01</v>
      </c>
      <c r="H7125" t="s">
        <v>5256</v>
      </c>
    </row>
    <row r="7126" spans="3:8" x14ac:dyDescent="0.2">
      <c r="G7126" t="str">
        <f>"74901.02"</f>
        <v>74901.02</v>
      </c>
      <c r="H7126" t="s">
        <v>5257</v>
      </c>
    </row>
    <row r="7127" spans="3:8" x14ac:dyDescent="0.2">
      <c r="E7127" t="str">
        <f>"74902"</f>
        <v>74902</v>
      </c>
      <c r="H7127" t="s">
        <v>5258</v>
      </c>
    </row>
    <row r="7128" spans="3:8" x14ac:dyDescent="0.2">
      <c r="F7128" t="str">
        <f>"74902.0"</f>
        <v>74902.0</v>
      </c>
      <c r="H7128" t="s">
        <v>5258</v>
      </c>
    </row>
    <row r="7129" spans="3:8" x14ac:dyDescent="0.2">
      <c r="G7129" t="str">
        <f>"74902.00"</f>
        <v>74902.00</v>
      </c>
      <c r="H7129" t="s">
        <v>5258</v>
      </c>
    </row>
    <row r="7130" spans="3:8" x14ac:dyDescent="0.2">
      <c r="E7130" t="str">
        <f>"74909"</f>
        <v>74909</v>
      </c>
      <c r="H7130" t="s">
        <v>5254</v>
      </c>
    </row>
    <row r="7131" spans="3:8" x14ac:dyDescent="0.2">
      <c r="F7131" t="str">
        <f>"74909.0"</f>
        <v>74909.0</v>
      </c>
      <c r="H7131" t="s">
        <v>5254</v>
      </c>
    </row>
    <row r="7132" spans="3:8" x14ac:dyDescent="0.2">
      <c r="G7132" t="str">
        <f>"74909.01"</f>
        <v>74909.01</v>
      </c>
      <c r="H7132" t="s">
        <v>5259</v>
      </c>
    </row>
    <row r="7133" spans="3:8" x14ac:dyDescent="0.2">
      <c r="G7133" t="str">
        <f>"74909.02"</f>
        <v>74909.02</v>
      </c>
      <c r="H7133" t="s">
        <v>5260</v>
      </c>
    </row>
    <row r="7134" spans="3:8" x14ac:dyDescent="0.2">
      <c r="G7134" t="str">
        <f>"74909.03"</f>
        <v>74909.03</v>
      </c>
      <c r="H7134" t="s">
        <v>5261</v>
      </c>
    </row>
    <row r="7135" spans="3:8" x14ac:dyDescent="0.2">
      <c r="G7135" t="str">
        <f>"74909.04"</f>
        <v>74909.04</v>
      </c>
      <c r="H7135" t="s">
        <v>5262</v>
      </c>
    </row>
    <row r="7136" spans="3:8" x14ac:dyDescent="0.2">
      <c r="G7136" t="str">
        <f>"74909.05"</f>
        <v>74909.05</v>
      </c>
      <c r="H7136" t="s">
        <v>5263</v>
      </c>
    </row>
    <row r="7137" spans="1:8" x14ac:dyDescent="0.2">
      <c r="G7137" t="str">
        <f>"74909.09"</f>
        <v>74909.09</v>
      </c>
      <c r="H7137" t="s">
        <v>5264</v>
      </c>
    </row>
    <row r="7138" spans="1:8" x14ac:dyDescent="0.2">
      <c r="B7138" t="str">
        <f>"75"</f>
        <v>75</v>
      </c>
      <c r="H7138" t="s">
        <v>5265</v>
      </c>
    </row>
    <row r="7139" spans="1:8" x14ac:dyDescent="0.2">
      <c r="C7139" t="str">
        <f>"750"</f>
        <v>750</v>
      </c>
      <c r="H7139" t="s">
        <v>5265</v>
      </c>
    </row>
    <row r="7140" spans="1:8" x14ac:dyDescent="0.2">
      <c r="D7140" t="str">
        <f>"7500"</f>
        <v>7500</v>
      </c>
      <c r="H7140" t="s">
        <v>5265</v>
      </c>
    </row>
    <row r="7141" spans="1:8" x14ac:dyDescent="0.2">
      <c r="E7141" t="str">
        <f>"75000"</f>
        <v>75000</v>
      </c>
      <c r="H7141" t="s">
        <v>5265</v>
      </c>
    </row>
    <row r="7142" spans="1:8" x14ac:dyDescent="0.2">
      <c r="F7142" t="str">
        <f>"75000.0"</f>
        <v>75000.0</v>
      </c>
      <c r="H7142" t="s">
        <v>5265</v>
      </c>
    </row>
    <row r="7143" spans="1:8" x14ac:dyDescent="0.2">
      <c r="G7143" t="str">
        <f>"75000.01"</f>
        <v>75000.01</v>
      </c>
      <c r="H7143" t="s">
        <v>5266</v>
      </c>
    </row>
    <row r="7144" spans="1:8" x14ac:dyDescent="0.2">
      <c r="G7144" t="str">
        <f>"75000.02"</f>
        <v>75000.02</v>
      </c>
      <c r="H7144" t="s">
        <v>5267</v>
      </c>
    </row>
    <row r="7145" spans="1:8" x14ac:dyDescent="0.2">
      <c r="G7145" t="str">
        <f>"75000.09"</f>
        <v>75000.09</v>
      </c>
      <c r="H7145" t="s">
        <v>5268</v>
      </c>
    </row>
    <row r="7146" spans="1:8" x14ac:dyDescent="0.2">
      <c r="A7146" t="s">
        <v>5269</v>
      </c>
      <c r="H7146" t="s">
        <v>5270</v>
      </c>
    </row>
    <row r="7147" spans="1:8" x14ac:dyDescent="0.2">
      <c r="B7147" t="str">
        <f>"77"</f>
        <v>77</v>
      </c>
      <c r="H7147" t="s">
        <v>5271</v>
      </c>
    </row>
    <row r="7148" spans="1:8" x14ac:dyDescent="0.2">
      <c r="C7148" t="str">
        <f>"771"</f>
        <v>771</v>
      </c>
      <c r="H7148" t="s">
        <v>5272</v>
      </c>
    </row>
    <row r="7149" spans="1:8" x14ac:dyDescent="0.2">
      <c r="D7149" t="str">
        <f>"7710"</f>
        <v>7710</v>
      </c>
      <c r="H7149" t="s">
        <v>5272</v>
      </c>
    </row>
    <row r="7150" spans="1:8" x14ac:dyDescent="0.2">
      <c r="E7150" t="str">
        <f>"77101"</f>
        <v>77101</v>
      </c>
      <c r="H7150" t="s">
        <v>5273</v>
      </c>
    </row>
    <row r="7151" spans="1:8" x14ac:dyDescent="0.2">
      <c r="F7151" t="str">
        <f>"77101.0"</f>
        <v>77101.0</v>
      </c>
      <c r="H7151" t="s">
        <v>5274</v>
      </c>
    </row>
    <row r="7152" spans="1:8" x14ac:dyDescent="0.2">
      <c r="G7152" t="str">
        <f>"77101.00"</f>
        <v>77101.00</v>
      </c>
      <c r="H7152" t="s">
        <v>5274</v>
      </c>
    </row>
    <row r="7153" spans="3:8" x14ac:dyDescent="0.2">
      <c r="E7153" t="str">
        <f>"77109"</f>
        <v>77109</v>
      </c>
      <c r="H7153" t="s">
        <v>5275</v>
      </c>
    </row>
    <row r="7154" spans="3:8" x14ac:dyDescent="0.2">
      <c r="F7154" t="str">
        <f>"77109.0"</f>
        <v>77109.0</v>
      </c>
      <c r="H7154" t="s">
        <v>5275</v>
      </c>
    </row>
    <row r="7155" spans="3:8" x14ac:dyDescent="0.2">
      <c r="G7155" t="str">
        <f>"77109.01"</f>
        <v>77109.01</v>
      </c>
      <c r="H7155" t="s">
        <v>5276</v>
      </c>
    </row>
    <row r="7156" spans="3:8" x14ac:dyDescent="0.2">
      <c r="G7156" t="str">
        <f>"77109.09"</f>
        <v>77109.09</v>
      </c>
      <c r="H7156" t="s">
        <v>5277</v>
      </c>
    </row>
    <row r="7157" spans="3:8" x14ac:dyDescent="0.2">
      <c r="C7157" t="str">
        <f>"772"</f>
        <v>772</v>
      </c>
      <c r="H7157" t="s">
        <v>5278</v>
      </c>
    </row>
    <row r="7158" spans="3:8" x14ac:dyDescent="0.2">
      <c r="D7158" t="str">
        <f>"7721"</f>
        <v>7721</v>
      </c>
      <c r="H7158" t="s">
        <v>5279</v>
      </c>
    </row>
    <row r="7159" spans="3:8" x14ac:dyDescent="0.2">
      <c r="E7159" t="str">
        <f>"77210"</f>
        <v>77210</v>
      </c>
      <c r="H7159" t="s">
        <v>5279</v>
      </c>
    </row>
    <row r="7160" spans="3:8" x14ac:dyDescent="0.2">
      <c r="F7160" t="str">
        <f>"77210.0"</f>
        <v>77210.0</v>
      </c>
      <c r="H7160" t="s">
        <v>5279</v>
      </c>
    </row>
    <row r="7161" spans="3:8" x14ac:dyDescent="0.2">
      <c r="G7161" t="str">
        <f>"77210.00"</f>
        <v>77210.00</v>
      </c>
      <c r="H7161" t="s">
        <v>5279</v>
      </c>
    </row>
    <row r="7162" spans="3:8" x14ac:dyDescent="0.2">
      <c r="D7162" t="str">
        <f>"7722"</f>
        <v>7722</v>
      </c>
      <c r="H7162" t="s">
        <v>5280</v>
      </c>
    </row>
    <row r="7163" spans="3:8" x14ac:dyDescent="0.2">
      <c r="E7163" t="str">
        <f>"77220"</f>
        <v>77220</v>
      </c>
      <c r="H7163" t="s">
        <v>5280</v>
      </c>
    </row>
    <row r="7164" spans="3:8" x14ac:dyDescent="0.2">
      <c r="F7164" t="str">
        <f>"77220.0"</f>
        <v>77220.0</v>
      </c>
      <c r="H7164" t="s">
        <v>5280</v>
      </c>
    </row>
    <row r="7165" spans="3:8" x14ac:dyDescent="0.2">
      <c r="G7165" t="str">
        <f>"77220.00"</f>
        <v>77220.00</v>
      </c>
      <c r="H7165" t="s">
        <v>5280</v>
      </c>
    </row>
    <row r="7166" spans="3:8" x14ac:dyDescent="0.2">
      <c r="D7166" t="str">
        <f>"7729"</f>
        <v>7729</v>
      </c>
      <c r="H7166" t="s">
        <v>5281</v>
      </c>
    </row>
    <row r="7167" spans="3:8" x14ac:dyDescent="0.2">
      <c r="E7167" t="str">
        <f>"77291"</f>
        <v>77291</v>
      </c>
      <c r="H7167" t="s">
        <v>5282</v>
      </c>
    </row>
    <row r="7168" spans="3:8" x14ac:dyDescent="0.2">
      <c r="F7168" t="str">
        <f>"77291.0"</f>
        <v>77291.0</v>
      </c>
      <c r="H7168" t="s">
        <v>5282</v>
      </c>
    </row>
    <row r="7169" spans="3:8" x14ac:dyDescent="0.2">
      <c r="G7169" t="str">
        <f>"77291.00"</f>
        <v>77291.00</v>
      </c>
      <c r="H7169" t="s">
        <v>5282</v>
      </c>
    </row>
    <row r="7170" spans="3:8" x14ac:dyDescent="0.2">
      <c r="E7170" t="str">
        <f>"77299"</f>
        <v>77299</v>
      </c>
      <c r="H7170" t="s">
        <v>5283</v>
      </c>
    </row>
    <row r="7171" spans="3:8" x14ac:dyDescent="0.2">
      <c r="F7171" t="str">
        <f>"77299.0"</f>
        <v>77299.0</v>
      </c>
      <c r="H7171" t="s">
        <v>5283</v>
      </c>
    </row>
    <row r="7172" spans="3:8" x14ac:dyDescent="0.2">
      <c r="G7172" t="str">
        <f>"77299.01"</f>
        <v>77299.01</v>
      </c>
      <c r="H7172" t="s">
        <v>5284</v>
      </c>
    </row>
    <row r="7173" spans="3:8" x14ac:dyDescent="0.2">
      <c r="G7173" t="str">
        <f>"77299.02"</f>
        <v>77299.02</v>
      </c>
      <c r="H7173" t="s">
        <v>5285</v>
      </c>
    </row>
    <row r="7174" spans="3:8" x14ac:dyDescent="0.2">
      <c r="G7174" t="str">
        <f>"77299.03"</f>
        <v>77299.03</v>
      </c>
      <c r="H7174" t="s">
        <v>5286</v>
      </c>
    </row>
    <row r="7175" spans="3:8" x14ac:dyDescent="0.2">
      <c r="G7175" t="str">
        <f>"77299.04"</f>
        <v>77299.04</v>
      </c>
      <c r="H7175" t="s">
        <v>5287</v>
      </c>
    </row>
    <row r="7176" spans="3:8" x14ac:dyDescent="0.2">
      <c r="G7176" t="str">
        <f>"77299.05"</f>
        <v>77299.05</v>
      </c>
      <c r="H7176" t="s">
        <v>5288</v>
      </c>
    </row>
    <row r="7177" spans="3:8" x14ac:dyDescent="0.2">
      <c r="G7177" t="str">
        <f>"77299.06"</f>
        <v>77299.06</v>
      </c>
      <c r="H7177" t="s">
        <v>5289</v>
      </c>
    </row>
    <row r="7178" spans="3:8" x14ac:dyDescent="0.2">
      <c r="G7178" t="str">
        <f>"77299.09"</f>
        <v>77299.09</v>
      </c>
      <c r="H7178" t="s">
        <v>5283</v>
      </c>
    </row>
    <row r="7179" spans="3:8" x14ac:dyDescent="0.2">
      <c r="C7179" t="str">
        <f>"773"</f>
        <v>773</v>
      </c>
      <c r="H7179" t="s">
        <v>5290</v>
      </c>
    </row>
    <row r="7180" spans="3:8" x14ac:dyDescent="0.2">
      <c r="D7180" t="str">
        <f>"7730"</f>
        <v>7730</v>
      </c>
      <c r="H7180" t="s">
        <v>5290</v>
      </c>
    </row>
    <row r="7181" spans="3:8" x14ac:dyDescent="0.2">
      <c r="E7181" t="str">
        <f>"77301"</f>
        <v>77301</v>
      </c>
      <c r="H7181" t="s">
        <v>5291</v>
      </c>
    </row>
    <row r="7182" spans="3:8" x14ac:dyDescent="0.2">
      <c r="F7182" t="str">
        <f>"77301.0"</f>
        <v>77301.0</v>
      </c>
      <c r="H7182" t="s">
        <v>5291</v>
      </c>
    </row>
    <row r="7183" spans="3:8" x14ac:dyDescent="0.2">
      <c r="G7183" t="str">
        <f>"77301.01"</f>
        <v>77301.01</v>
      </c>
      <c r="H7183" t="s">
        <v>5292</v>
      </c>
    </row>
    <row r="7184" spans="3:8" x14ac:dyDescent="0.2">
      <c r="G7184" t="str">
        <f>"77301.02"</f>
        <v>77301.02</v>
      </c>
      <c r="H7184" t="s">
        <v>5293</v>
      </c>
    </row>
    <row r="7185" spans="5:8" x14ac:dyDescent="0.2">
      <c r="E7185" t="str">
        <f>"77302"</f>
        <v>77302</v>
      </c>
      <c r="H7185" t="s">
        <v>5294</v>
      </c>
    </row>
    <row r="7186" spans="5:8" x14ac:dyDescent="0.2">
      <c r="F7186" t="str">
        <f>"77302.0"</f>
        <v>77302.0</v>
      </c>
      <c r="H7186" t="s">
        <v>5295</v>
      </c>
    </row>
    <row r="7187" spans="5:8" x14ac:dyDescent="0.2">
      <c r="G7187" t="str">
        <f>"77302.00"</f>
        <v>77302.00</v>
      </c>
      <c r="H7187" t="s">
        <v>5295</v>
      </c>
    </row>
    <row r="7188" spans="5:8" x14ac:dyDescent="0.2">
      <c r="E7188" t="str">
        <f>"77303"</f>
        <v>77303</v>
      </c>
      <c r="H7188" t="s">
        <v>5296</v>
      </c>
    </row>
    <row r="7189" spans="5:8" x14ac:dyDescent="0.2">
      <c r="F7189" t="str">
        <f>"77303.0"</f>
        <v>77303.0</v>
      </c>
      <c r="H7189" t="s">
        <v>5296</v>
      </c>
    </row>
    <row r="7190" spans="5:8" x14ac:dyDescent="0.2">
      <c r="G7190" t="str">
        <f>"77303.00"</f>
        <v>77303.00</v>
      </c>
      <c r="H7190" t="s">
        <v>5296</v>
      </c>
    </row>
    <row r="7191" spans="5:8" x14ac:dyDescent="0.2">
      <c r="E7191" t="str">
        <f>"77304"</f>
        <v>77304</v>
      </c>
      <c r="H7191" t="s">
        <v>5297</v>
      </c>
    </row>
    <row r="7192" spans="5:8" x14ac:dyDescent="0.2">
      <c r="F7192" t="str">
        <f>"77304.0"</f>
        <v>77304.0</v>
      </c>
      <c r="H7192" t="s">
        <v>5297</v>
      </c>
    </row>
    <row r="7193" spans="5:8" x14ac:dyDescent="0.2">
      <c r="G7193" t="str">
        <f>"77304.00"</f>
        <v>77304.00</v>
      </c>
      <c r="H7193" t="s">
        <v>5297</v>
      </c>
    </row>
    <row r="7194" spans="5:8" x14ac:dyDescent="0.2">
      <c r="E7194" t="str">
        <f>"77305"</f>
        <v>77305</v>
      </c>
      <c r="H7194" t="s">
        <v>5298</v>
      </c>
    </row>
    <row r="7195" spans="5:8" x14ac:dyDescent="0.2">
      <c r="F7195" t="str">
        <f>"77305.0"</f>
        <v>77305.0</v>
      </c>
      <c r="H7195" t="s">
        <v>5298</v>
      </c>
    </row>
    <row r="7196" spans="5:8" x14ac:dyDescent="0.2">
      <c r="G7196" t="str">
        <f>"77305.00"</f>
        <v>77305.00</v>
      </c>
      <c r="H7196" t="s">
        <v>5298</v>
      </c>
    </row>
    <row r="7197" spans="5:8" x14ac:dyDescent="0.2">
      <c r="E7197" t="str">
        <f>"77306"</f>
        <v>77306</v>
      </c>
      <c r="H7197" t="s">
        <v>5299</v>
      </c>
    </row>
    <row r="7198" spans="5:8" x14ac:dyDescent="0.2">
      <c r="F7198" t="str">
        <f>"77306.0"</f>
        <v>77306.0</v>
      </c>
      <c r="H7198" t="s">
        <v>5299</v>
      </c>
    </row>
    <row r="7199" spans="5:8" x14ac:dyDescent="0.2">
      <c r="G7199" t="str">
        <f>"77306.01"</f>
        <v>77306.01</v>
      </c>
      <c r="H7199" t="s">
        <v>5300</v>
      </c>
    </row>
    <row r="7200" spans="5:8" x14ac:dyDescent="0.2">
      <c r="G7200" t="str">
        <f>"77306.02"</f>
        <v>77306.02</v>
      </c>
      <c r="H7200" t="s">
        <v>5301</v>
      </c>
    </row>
    <row r="7201" spans="2:8" x14ac:dyDescent="0.2">
      <c r="E7201" t="str">
        <f>"77309"</f>
        <v>77309</v>
      </c>
      <c r="H7201" t="s">
        <v>5302</v>
      </c>
    </row>
    <row r="7202" spans="2:8" x14ac:dyDescent="0.2">
      <c r="F7202" t="str">
        <f>"77309.0"</f>
        <v>77309.0</v>
      </c>
      <c r="H7202" t="s">
        <v>5302</v>
      </c>
    </row>
    <row r="7203" spans="2:8" x14ac:dyDescent="0.2">
      <c r="G7203" t="str">
        <f>"77309.01"</f>
        <v>77309.01</v>
      </c>
      <c r="H7203" t="s">
        <v>5303</v>
      </c>
    </row>
    <row r="7204" spans="2:8" x14ac:dyDescent="0.2">
      <c r="G7204" t="str">
        <f>"77309.02"</f>
        <v>77309.02</v>
      </c>
      <c r="H7204" t="s">
        <v>5304</v>
      </c>
    </row>
    <row r="7205" spans="2:8" x14ac:dyDescent="0.2">
      <c r="G7205" t="str">
        <f>"77309.09"</f>
        <v>77309.09</v>
      </c>
      <c r="H7205" t="s">
        <v>5305</v>
      </c>
    </row>
    <row r="7206" spans="2:8" x14ac:dyDescent="0.2">
      <c r="C7206" t="str">
        <f>"774"</f>
        <v>774</v>
      </c>
      <c r="H7206" t="s">
        <v>5306</v>
      </c>
    </row>
    <row r="7207" spans="2:8" x14ac:dyDescent="0.2">
      <c r="D7207" t="str">
        <f>"7740"</f>
        <v>7740</v>
      </c>
      <c r="H7207" t="s">
        <v>5306</v>
      </c>
    </row>
    <row r="7208" spans="2:8" x14ac:dyDescent="0.2">
      <c r="E7208" t="str">
        <f>"77400"</f>
        <v>77400</v>
      </c>
      <c r="H7208" t="s">
        <v>5306</v>
      </c>
    </row>
    <row r="7209" spans="2:8" x14ac:dyDescent="0.2">
      <c r="F7209" t="str">
        <f>"77400.0"</f>
        <v>77400.0</v>
      </c>
      <c r="H7209" t="s">
        <v>5307</v>
      </c>
    </row>
    <row r="7210" spans="2:8" x14ac:dyDescent="0.2">
      <c r="G7210" t="str">
        <f>"77400.01"</f>
        <v>77400.01</v>
      </c>
      <c r="H7210" t="s">
        <v>5308</v>
      </c>
    </row>
    <row r="7211" spans="2:8" x14ac:dyDescent="0.2">
      <c r="G7211" t="str">
        <f>"77400.02"</f>
        <v>77400.02</v>
      </c>
      <c r="H7211" t="s">
        <v>5309</v>
      </c>
    </row>
    <row r="7212" spans="2:8" x14ac:dyDescent="0.2">
      <c r="G7212" t="str">
        <f>"77400.03"</f>
        <v>77400.03</v>
      </c>
      <c r="H7212" t="s">
        <v>5310</v>
      </c>
    </row>
    <row r="7213" spans="2:8" x14ac:dyDescent="0.2">
      <c r="G7213" t="str">
        <f>"77400.09"</f>
        <v>77400.09</v>
      </c>
      <c r="H7213" t="s">
        <v>5311</v>
      </c>
    </row>
    <row r="7214" spans="2:8" x14ac:dyDescent="0.2">
      <c r="B7214" t="str">
        <f>"78"</f>
        <v>78</v>
      </c>
      <c r="H7214" t="s">
        <v>5312</v>
      </c>
    </row>
    <row r="7215" spans="2:8" x14ac:dyDescent="0.2">
      <c r="C7215" t="str">
        <f>"781"</f>
        <v>781</v>
      </c>
      <c r="H7215" t="s">
        <v>5313</v>
      </c>
    </row>
    <row r="7216" spans="2:8" x14ac:dyDescent="0.2">
      <c r="D7216" t="str">
        <f>"7810"</f>
        <v>7810</v>
      </c>
      <c r="H7216" t="s">
        <v>5313</v>
      </c>
    </row>
    <row r="7217" spans="3:8" x14ac:dyDescent="0.2">
      <c r="E7217" t="str">
        <f>"78101"</f>
        <v>78101</v>
      </c>
      <c r="H7217" t="s">
        <v>5314</v>
      </c>
    </row>
    <row r="7218" spans="3:8" x14ac:dyDescent="0.2">
      <c r="F7218" t="str">
        <f>"78101.0"</f>
        <v>78101.0</v>
      </c>
      <c r="H7218" t="s">
        <v>5314</v>
      </c>
    </row>
    <row r="7219" spans="3:8" x14ac:dyDescent="0.2">
      <c r="G7219" t="str">
        <f>"78101.00"</f>
        <v>78101.00</v>
      </c>
      <c r="H7219" t="s">
        <v>5314</v>
      </c>
    </row>
    <row r="7220" spans="3:8" x14ac:dyDescent="0.2">
      <c r="E7220" t="str">
        <f>"78109"</f>
        <v>78109</v>
      </c>
      <c r="H7220" t="s">
        <v>5315</v>
      </c>
    </row>
    <row r="7221" spans="3:8" x14ac:dyDescent="0.2">
      <c r="F7221" t="str">
        <f>"78109.0"</f>
        <v>78109.0</v>
      </c>
      <c r="H7221" t="s">
        <v>5316</v>
      </c>
    </row>
    <row r="7222" spans="3:8" x14ac:dyDescent="0.2">
      <c r="G7222" t="str">
        <f>"78109.01"</f>
        <v>78109.01</v>
      </c>
      <c r="H7222" t="s">
        <v>5317</v>
      </c>
    </row>
    <row r="7223" spans="3:8" x14ac:dyDescent="0.2">
      <c r="G7223" t="str">
        <f>"78109.09"</f>
        <v>78109.09</v>
      </c>
      <c r="H7223" t="s">
        <v>5318</v>
      </c>
    </row>
    <row r="7224" spans="3:8" x14ac:dyDescent="0.2">
      <c r="C7224" t="str">
        <f>"782"</f>
        <v>782</v>
      </c>
      <c r="H7224" t="s">
        <v>5319</v>
      </c>
    </row>
    <row r="7225" spans="3:8" x14ac:dyDescent="0.2">
      <c r="D7225" t="str">
        <f>"7820"</f>
        <v>7820</v>
      </c>
      <c r="H7225" t="s">
        <v>5319</v>
      </c>
    </row>
    <row r="7226" spans="3:8" x14ac:dyDescent="0.2">
      <c r="E7226" t="str">
        <f>"78200"</f>
        <v>78200</v>
      </c>
      <c r="H7226" t="s">
        <v>5319</v>
      </c>
    </row>
    <row r="7227" spans="3:8" x14ac:dyDescent="0.2">
      <c r="F7227" t="str">
        <f>"78200.0"</f>
        <v>78200.0</v>
      </c>
      <c r="H7227" t="s">
        <v>5320</v>
      </c>
    </row>
    <row r="7228" spans="3:8" x14ac:dyDescent="0.2">
      <c r="G7228" t="str">
        <f>"78200.01"</f>
        <v>78200.01</v>
      </c>
      <c r="H7228" t="s">
        <v>5321</v>
      </c>
    </row>
    <row r="7229" spans="3:8" x14ac:dyDescent="0.2">
      <c r="G7229" t="str">
        <f>"78200.02"</f>
        <v>78200.02</v>
      </c>
      <c r="H7229" t="s">
        <v>5322</v>
      </c>
    </row>
    <row r="7230" spans="3:8" x14ac:dyDescent="0.2">
      <c r="G7230" t="str">
        <f>"78200.03"</f>
        <v>78200.03</v>
      </c>
      <c r="H7230" t="s">
        <v>5323</v>
      </c>
    </row>
    <row r="7231" spans="3:8" x14ac:dyDescent="0.2">
      <c r="G7231" t="str">
        <f>"78200.04"</f>
        <v>78200.04</v>
      </c>
      <c r="H7231" t="s">
        <v>5324</v>
      </c>
    </row>
    <row r="7232" spans="3:8" x14ac:dyDescent="0.2">
      <c r="G7232" t="str">
        <f>"78200.05"</f>
        <v>78200.05</v>
      </c>
      <c r="H7232" t="s">
        <v>5325</v>
      </c>
    </row>
    <row r="7233" spans="2:8" x14ac:dyDescent="0.2">
      <c r="G7233" t="str">
        <f>"78200.06"</f>
        <v>78200.06</v>
      </c>
      <c r="H7233" t="s">
        <v>5326</v>
      </c>
    </row>
    <row r="7234" spans="2:8" x14ac:dyDescent="0.2">
      <c r="G7234" t="str">
        <f>"78200.09"</f>
        <v>78200.09</v>
      </c>
      <c r="H7234" t="s">
        <v>5327</v>
      </c>
    </row>
    <row r="7235" spans="2:8" x14ac:dyDescent="0.2">
      <c r="C7235" t="str">
        <f>"783"</f>
        <v>783</v>
      </c>
      <c r="H7235" t="s">
        <v>5328</v>
      </c>
    </row>
    <row r="7236" spans="2:8" x14ac:dyDescent="0.2">
      <c r="D7236" t="str">
        <f>"7830"</f>
        <v>7830</v>
      </c>
      <c r="H7236" t="s">
        <v>5328</v>
      </c>
    </row>
    <row r="7237" spans="2:8" x14ac:dyDescent="0.2">
      <c r="E7237" t="str">
        <f>"78300"</f>
        <v>78300</v>
      </c>
      <c r="H7237" t="s">
        <v>5328</v>
      </c>
    </row>
    <row r="7238" spans="2:8" x14ac:dyDescent="0.2">
      <c r="F7238" t="str">
        <f>"78300.0"</f>
        <v>78300.0</v>
      </c>
      <c r="H7238" t="s">
        <v>5329</v>
      </c>
    </row>
    <row r="7239" spans="2:8" x14ac:dyDescent="0.2">
      <c r="G7239" t="str">
        <f>"78300.01"</f>
        <v>78300.01</v>
      </c>
      <c r="H7239" t="s">
        <v>5330</v>
      </c>
    </row>
    <row r="7240" spans="2:8" x14ac:dyDescent="0.2">
      <c r="G7240" t="str">
        <f>"78300.02"</f>
        <v>78300.02</v>
      </c>
      <c r="H7240" t="s">
        <v>5331</v>
      </c>
    </row>
    <row r="7241" spans="2:8" x14ac:dyDescent="0.2">
      <c r="G7241" t="str">
        <f>"78300.03"</f>
        <v>78300.03</v>
      </c>
      <c r="H7241" t="s">
        <v>5332</v>
      </c>
    </row>
    <row r="7242" spans="2:8" x14ac:dyDescent="0.2">
      <c r="G7242" t="str">
        <f>"78300.04"</f>
        <v>78300.04</v>
      </c>
      <c r="H7242" t="s">
        <v>5333</v>
      </c>
    </row>
    <row r="7243" spans="2:8" x14ac:dyDescent="0.2">
      <c r="G7243" t="str">
        <f>"78300.05"</f>
        <v>78300.05</v>
      </c>
      <c r="H7243" t="s">
        <v>5334</v>
      </c>
    </row>
    <row r="7244" spans="2:8" x14ac:dyDescent="0.2">
      <c r="G7244" t="str">
        <f>"78300.06"</f>
        <v>78300.06</v>
      </c>
      <c r="H7244" t="s">
        <v>5335</v>
      </c>
    </row>
    <row r="7245" spans="2:8" x14ac:dyDescent="0.2">
      <c r="G7245" t="str">
        <f>"78300.09"</f>
        <v>78300.09</v>
      </c>
      <c r="H7245" t="s">
        <v>5336</v>
      </c>
    </row>
    <row r="7246" spans="2:8" x14ac:dyDescent="0.2">
      <c r="B7246" t="str">
        <f>"79"</f>
        <v>79</v>
      </c>
      <c r="H7246" t="s">
        <v>5337</v>
      </c>
    </row>
    <row r="7247" spans="2:8" x14ac:dyDescent="0.2">
      <c r="C7247" t="str">
        <f>"791"</f>
        <v>791</v>
      </c>
      <c r="H7247" t="s">
        <v>5338</v>
      </c>
    </row>
    <row r="7248" spans="2:8" x14ac:dyDescent="0.2">
      <c r="D7248" t="str">
        <f>"7911"</f>
        <v>7911</v>
      </c>
      <c r="H7248" t="s">
        <v>5339</v>
      </c>
    </row>
    <row r="7249" spans="4:8" x14ac:dyDescent="0.2">
      <c r="E7249" t="str">
        <f>"79110"</f>
        <v>79110</v>
      </c>
      <c r="H7249" t="s">
        <v>5339</v>
      </c>
    </row>
    <row r="7250" spans="4:8" x14ac:dyDescent="0.2">
      <c r="F7250" t="str">
        <f>"79110.1"</f>
        <v>79110.1</v>
      </c>
      <c r="H7250" t="s">
        <v>5340</v>
      </c>
    </row>
    <row r="7251" spans="4:8" x14ac:dyDescent="0.2">
      <c r="G7251" t="str">
        <f>"79110.11"</f>
        <v>79110.11</v>
      </c>
      <c r="H7251" t="s">
        <v>5341</v>
      </c>
    </row>
    <row r="7252" spans="4:8" x14ac:dyDescent="0.2">
      <c r="G7252" t="str">
        <f>"79110.12"</f>
        <v>79110.12</v>
      </c>
      <c r="H7252" t="s">
        <v>5342</v>
      </c>
    </row>
    <row r="7253" spans="4:8" x14ac:dyDescent="0.2">
      <c r="G7253" t="str">
        <f>"79110.13"</f>
        <v>79110.13</v>
      </c>
      <c r="H7253" t="s">
        <v>5343</v>
      </c>
    </row>
    <row r="7254" spans="4:8" x14ac:dyDescent="0.2">
      <c r="G7254" t="str">
        <f>"79110.14"</f>
        <v>79110.14</v>
      </c>
      <c r="H7254" t="s">
        <v>5344</v>
      </c>
    </row>
    <row r="7255" spans="4:8" x14ac:dyDescent="0.2">
      <c r="G7255" t="str">
        <f>"79110.19"</f>
        <v>79110.19</v>
      </c>
      <c r="H7255" t="s">
        <v>5345</v>
      </c>
    </row>
    <row r="7256" spans="4:8" x14ac:dyDescent="0.2">
      <c r="F7256" t="str">
        <f>"79110.2"</f>
        <v>79110.2</v>
      </c>
      <c r="H7256" t="s">
        <v>5346</v>
      </c>
    </row>
    <row r="7257" spans="4:8" x14ac:dyDescent="0.2">
      <c r="G7257" t="str">
        <f>"79110.21"</f>
        <v>79110.21</v>
      </c>
      <c r="H7257" t="s">
        <v>5347</v>
      </c>
    </row>
    <row r="7258" spans="4:8" x14ac:dyDescent="0.2">
      <c r="G7258" t="str">
        <f>"79110.22"</f>
        <v>79110.22</v>
      </c>
      <c r="H7258" t="s">
        <v>5348</v>
      </c>
    </row>
    <row r="7259" spans="4:8" x14ac:dyDescent="0.2">
      <c r="G7259" t="str">
        <f>"79110.23"</f>
        <v>79110.23</v>
      </c>
      <c r="H7259" t="s">
        <v>5349</v>
      </c>
    </row>
    <row r="7260" spans="4:8" x14ac:dyDescent="0.2">
      <c r="D7260" t="str">
        <f>"7912"</f>
        <v>7912</v>
      </c>
      <c r="H7260" t="s">
        <v>5350</v>
      </c>
    </row>
    <row r="7261" spans="4:8" x14ac:dyDescent="0.2">
      <c r="E7261" t="str">
        <f>"79120"</f>
        <v>79120</v>
      </c>
      <c r="H7261" t="s">
        <v>5350</v>
      </c>
    </row>
    <row r="7262" spans="4:8" x14ac:dyDescent="0.2">
      <c r="F7262" t="str">
        <f>"79120.0"</f>
        <v>79120.0</v>
      </c>
      <c r="H7262" t="s">
        <v>5350</v>
      </c>
    </row>
    <row r="7263" spans="4:8" x14ac:dyDescent="0.2">
      <c r="G7263" t="str">
        <f>"79120.01"</f>
        <v>79120.01</v>
      </c>
      <c r="H7263" t="s">
        <v>5351</v>
      </c>
    </row>
    <row r="7264" spans="4:8" x14ac:dyDescent="0.2">
      <c r="G7264" t="str">
        <f>"79120.02"</f>
        <v>79120.02</v>
      </c>
      <c r="H7264" t="s">
        <v>5352</v>
      </c>
    </row>
    <row r="7265" spans="2:8" x14ac:dyDescent="0.2">
      <c r="C7265" t="str">
        <f>"799"</f>
        <v>799</v>
      </c>
      <c r="H7265" t="s">
        <v>5353</v>
      </c>
    </row>
    <row r="7266" spans="2:8" x14ac:dyDescent="0.2">
      <c r="D7266" t="str">
        <f>"7990"</f>
        <v>7990</v>
      </c>
      <c r="H7266" t="s">
        <v>5353</v>
      </c>
    </row>
    <row r="7267" spans="2:8" x14ac:dyDescent="0.2">
      <c r="E7267" t="str">
        <f>"79901"</f>
        <v>79901</v>
      </c>
      <c r="H7267" t="s">
        <v>5354</v>
      </c>
    </row>
    <row r="7268" spans="2:8" x14ac:dyDescent="0.2">
      <c r="F7268" t="str">
        <f>"79901.0"</f>
        <v>79901.0</v>
      </c>
      <c r="H7268" t="s">
        <v>5354</v>
      </c>
    </row>
    <row r="7269" spans="2:8" x14ac:dyDescent="0.2">
      <c r="G7269" t="str">
        <f>"79901.00"</f>
        <v>79901.00</v>
      </c>
      <c r="H7269" t="s">
        <v>5354</v>
      </c>
    </row>
    <row r="7270" spans="2:8" x14ac:dyDescent="0.2">
      <c r="E7270" t="str">
        <f>"79909"</f>
        <v>79909</v>
      </c>
      <c r="H7270" t="s">
        <v>5355</v>
      </c>
    </row>
    <row r="7271" spans="2:8" x14ac:dyDescent="0.2">
      <c r="F7271" t="str">
        <f>"79909.1"</f>
        <v>79909.1</v>
      </c>
      <c r="H7271" t="s">
        <v>5356</v>
      </c>
    </row>
    <row r="7272" spans="2:8" x14ac:dyDescent="0.2">
      <c r="G7272" t="str">
        <f>"79909.11"</f>
        <v>79909.11</v>
      </c>
      <c r="H7272" t="s">
        <v>5357</v>
      </c>
    </row>
    <row r="7273" spans="2:8" x14ac:dyDescent="0.2">
      <c r="G7273" t="str">
        <f>"79909.12"</f>
        <v>79909.12</v>
      </c>
      <c r="H7273" t="s">
        <v>5358</v>
      </c>
    </row>
    <row r="7274" spans="2:8" x14ac:dyDescent="0.2">
      <c r="F7274" t="str">
        <f>"79909.9"</f>
        <v>79909.9</v>
      </c>
      <c r="H7274" t="s">
        <v>5355</v>
      </c>
    </row>
    <row r="7275" spans="2:8" x14ac:dyDescent="0.2">
      <c r="G7275" t="str">
        <f>"79909.91"</f>
        <v>79909.91</v>
      </c>
      <c r="H7275" t="s">
        <v>5359</v>
      </c>
    </row>
    <row r="7276" spans="2:8" x14ac:dyDescent="0.2">
      <c r="G7276" t="str">
        <f>"79909.92"</f>
        <v>79909.92</v>
      </c>
      <c r="H7276" t="s">
        <v>5360</v>
      </c>
    </row>
    <row r="7277" spans="2:8" x14ac:dyDescent="0.2">
      <c r="G7277" t="str">
        <f>"79909.99"</f>
        <v>79909.99</v>
      </c>
      <c r="H7277" t="s">
        <v>5361</v>
      </c>
    </row>
    <row r="7278" spans="2:8" x14ac:dyDescent="0.2">
      <c r="B7278" t="str">
        <f>"80"</f>
        <v>80</v>
      </c>
      <c r="H7278" t="s">
        <v>5362</v>
      </c>
    </row>
    <row r="7279" spans="2:8" x14ac:dyDescent="0.2">
      <c r="C7279" t="str">
        <f>"801"</f>
        <v>801</v>
      </c>
      <c r="H7279" t="s">
        <v>5363</v>
      </c>
    </row>
    <row r="7280" spans="2:8" x14ac:dyDescent="0.2">
      <c r="D7280" t="str">
        <f>"8010"</f>
        <v>8010</v>
      </c>
      <c r="H7280" t="s">
        <v>5363</v>
      </c>
    </row>
    <row r="7281" spans="2:8" x14ac:dyDescent="0.2">
      <c r="E7281" t="str">
        <f>"80100"</f>
        <v>80100</v>
      </c>
      <c r="H7281" t="s">
        <v>5363</v>
      </c>
    </row>
    <row r="7282" spans="2:8" x14ac:dyDescent="0.2">
      <c r="F7282" t="str">
        <f>"80100.0"</f>
        <v>80100.0</v>
      </c>
      <c r="H7282" t="s">
        <v>5363</v>
      </c>
    </row>
    <row r="7283" spans="2:8" x14ac:dyDescent="0.2">
      <c r="G7283" t="str">
        <f>"80100.01"</f>
        <v>80100.01</v>
      </c>
      <c r="H7283" t="s">
        <v>5364</v>
      </c>
    </row>
    <row r="7284" spans="2:8" x14ac:dyDescent="0.2">
      <c r="G7284" t="str">
        <f>"80100.02"</f>
        <v>80100.02</v>
      </c>
      <c r="H7284" t="s">
        <v>5365</v>
      </c>
    </row>
    <row r="7285" spans="2:8" x14ac:dyDescent="0.2">
      <c r="G7285" t="str">
        <f>"80100.09"</f>
        <v>80100.09</v>
      </c>
      <c r="H7285" t="s">
        <v>5366</v>
      </c>
    </row>
    <row r="7286" spans="2:8" x14ac:dyDescent="0.2">
      <c r="C7286" t="str">
        <f>"802"</f>
        <v>802</v>
      </c>
      <c r="H7286" t="s">
        <v>5367</v>
      </c>
    </row>
    <row r="7287" spans="2:8" x14ac:dyDescent="0.2">
      <c r="D7287" t="str">
        <f>"8020"</f>
        <v>8020</v>
      </c>
      <c r="H7287" t="s">
        <v>5367</v>
      </c>
    </row>
    <row r="7288" spans="2:8" x14ac:dyDescent="0.2">
      <c r="E7288" t="str">
        <f>"80200"</f>
        <v>80200</v>
      </c>
      <c r="H7288" t="s">
        <v>5367</v>
      </c>
    </row>
    <row r="7289" spans="2:8" x14ac:dyDescent="0.2">
      <c r="F7289" t="str">
        <f>"80200.0"</f>
        <v>80200.0</v>
      </c>
      <c r="H7289" t="s">
        <v>5367</v>
      </c>
    </row>
    <row r="7290" spans="2:8" x14ac:dyDescent="0.2">
      <c r="G7290" t="str">
        <f>"80200.00"</f>
        <v>80200.00</v>
      </c>
      <c r="H7290" t="s">
        <v>5367</v>
      </c>
    </row>
    <row r="7291" spans="2:8" x14ac:dyDescent="0.2">
      <c r="C7291" t="str">
        <f>"803"</f>
        <v>803</v>
      </c>
      <c r="H7291" t="s">
        <v>5368</v>
      </c>
    </row>
    <row r="7292" spans="2:8" x14ac:dyDescent="0.2">
      <c r="D7292" t="str">
        <f>"8030"</f>
        <v>8030</v>
      </c>
      <c r="H7292" t="s">
        <v>5368</v>
      </c>
    </row>
    <row r="7293" spans="2:8" x14ac:dyDescent="0.2">
      <c r="E7293" t="str">
        <f>"80300"</f>
        <v>80300</v>
      </c>
      <c r="H7293" t="s">
        <v>5368</v>
      </c>
    </row>
    <row r="7294" spans="2:8" x14ac:dyDescent="0.2">
      <c r="F7294" t="str">
        <f>"80300.0"</f>
        <v>80300.0</v>
      </c>
      <c r="H7294" t="s">
        <v>5368</v>
      </c>
    </row>
    <row r="7295" spans="2:8" x14ac:dyDescent="0.2">
      <c r="G7295" t="str">
        <f>"80300.00"</f>
        <v>80300.00</v>
      </c>
      <c r="H7295" t="s">
        <v>5368</v>
      </c>
    </row>
    <row r="7296" spans="2:8" x14ac:dyDescent="0.2">
      <c r="B7296" t="str">
        <f>"81"</f>
        <v>81</v>
      </c>
      <c r="H7296" t="s">
        <v>5369</v>
      </c>
    </row>
    <row r="7297" spans="3:8" x14ac:dyDescent="0.2">
      <c r="C7297" t="str">
        <f>"811"</f>
        <v>811</v>
      </c>
      <c r="H7297" t="s">
        <v>5370</v>
      </c>
    </row>
    <row r="7298" spans="3:8" x14ac:dyDescent="0.2">
      <c r="D7298" t="str">
        <f>"8110"</f>
        <v>8110</v>
      </c>
      <c r="H7298" t="s">
        <v>5370</v>
      </c>
    </row>
    <row r="7299" spans="3:8" x14ac:dyDescent="0.2">
      <c r="E7299" t="str">
        <f>"81100"</f>
        <v>81100</v>
      </c>
      <c r="H7299" t="s">
        <v>5370</v>
      </c>
    </row>
    <row r="7300" spans="3:8" x14ac:dyDescent="0.2">
      <c r="F7300" t="str">
        <f>"81100.0"</f>
        <v>81100.0</v>
      </c>
      <c r="H7300" t="s">
        <v>5370</v>
      </c>
    </row>
    <row r="7301" spans="3:8" x14ac:dyDescent="0.2">
      <c r="G7301" t="str">
        <f>"81100.00"</f>
        <v>81100.00</v>
      </c>
      <c r="H7301" t="s">
        <v>5370</v>
      </c>
    </row>
    <row r="7302" spans="3:8" x14ac:dyDescent="0.2">
      <c r="C7302" t="str">
        <f>"812"</f>
        <v>812</v>
      </c>
      <c r="H7302" t="s">
        <v>5371</v>
      </c>
    </row>
    <row r="7303" spans="3:8" x14ac:dyDescent="0.2">
      <c r="D7303" t="str">
        <f>"8121"</f>
        <v>8121</v>
      </c>
      <c r="H7303" t="s">
        <v>5372</v>
      </c>
    </row>
    <row r="7304" spans="3:8" x14ac:dyDescent="0.2">
      <c r="E7304" t="str">
        <f>"81210"</f>
        <v>81210</v>
      </c>
      <c r="H7304" t="s">
        <v>5372</v>
      </c>
    </row>
    <row r="7305" spans="3:8" x14ac:dyDescent="0.2">
      <c r="F7305" t="str">
        <f>"81210.0"</f>
        <v>81210.0</v>
      </c>
      <c r="H7305" t="s">
        <v>5372</v>
      </c>
    </row>
    <row r="7306" spans="3:8" x14ac:dyDescent="0.2">
      <c r="G7306" t="str">
        <f>"81210.00"</f>
        <v>81210.00</v>
      </c>
      <c r="H7306" t="s">
        <v>5372</v>
      </c>
    </row>
    <row r="7307" spans="3:8" x14ac:dyDescent="0.2">
      <c r="D7307" t="str">
        <f>"8129"</f>
        <v>8129</v>
      </c>
      <c r="H7307" t="s">
        <v>5373</v>
      </c>
    </row>
    <row r="7308" spans="3:8" x14ac:dyDescent="0.2">
      <c r="E7308" t="str">
        <f>"81291"</f>
        <v>81291</v>
      </c>
      <c r="H7308" t="s">
        <v>5374</v>
      </c>
    </row>
    <row r="7309" spans="3:8" x14ac:dyDescent="0.2">
      <c r="F7309" t="str">
        <f>"81291.0"</f>
        <v>81291.0</v>
      </c>
      <c r="H7309" t="s">
        <v>5374</v>
      </c>
    </row>
    <row r="7310" spans="3:8" x14ac:dyDescent="0.2">
      <c r="G7310" t="str">
        <f>"81291.00"</f>
        <v>81291.00</v>
      </c>
      <c r="H7310" t="s">
        <v>5374</v>
      </c>
    </row>
    <row r="7311" spans="3:8" x14ac:dyDescent="0.2">
      <c r="E7311" t="str">
        <f>"81292"</f>
        <v>81292</v>
      </c>
      <c r="H7311" t="s">
        <v>5375</v>
      </c>
    </row>
    <row r="7312" spans="3:8" x14ac:dyDescent="0.2">
      <c r="F7312" t="str">
        <f>"81292.0"</f>
        <v>81292.0</v>
      </c>
      <c r="H7312" t="s">
        <v>5375</v>
      </c>
    </row>
    <row r="7313" spans="2:8" x14ac:dyDescent="0.2">
      <c r="G7313" t="str">
        <f>"81292.01"</f>
        <v>81292.01</v>
      </c>
      <c r="H7313" t="s">
        <v>5376</v>
      </c>
    </row>
    <row r="7314" spans="2:8" x14ac:dyDescent="0.2">
      <c r="G7314" t="str">
        <f>"81292.02"</f>
        <v>81292.02</v>
      </c>
      <c r="H7314" t="s">
        <v>5377</v>
      </c>
    </row>
    <row r="7315" spans="2:8" x14ac:dyDescent="0.2">
      <c r="E7315" t="str">
        <f>"81293"</f>
        <v>81293</v>
      </c>
      <c r="H7315" t="s">
        <v>5378</v>
      </c>
    </row>
    <row r="7316" spans="2:8" x14ac:dyDescent="0.2">
      <c r="F7316" t="str">
        <f>"81293.0"</f>
        <v>81293.0</v>
      </c>
      <c r="H7316" t="s">
        <v>5378</v>
      </c>
    </row>
    <row r="7317" spans="2:8" x14ac:dyDescent="0.2">
      <c r="G7317" t="str">
        <f>"81293.00"</f>
        <v>81293.00</v>
      </c>
      <c r="H7317" t="s">
        <v>5378</v>
      </c>
    </row>
    <row r="7318" spans="2:8" x14ac:dyDescent="0.2">
      <c r="E7318" t="str">
        <f>"81299"</f>
        <v>81299</v>
      </c>
      <c r="H7318" t="s">
        <v>5379</v>
      </c>
    </row>
    <row r="7319" spans="2:8" x14ac:dyDescent="0.2">
      <c r="F7319" t="str">
        <f>"81299.0"</f>
        <v>81299.0</v>
      </c>
      <c r="H7319" t="s">
        <v>5379</v>
      </c>
    </row>
    <row r="7320" spans="2:8" x14ac:dyDescent="0.2">
      <c r="G7320" t="str">
        <f>"81299.01"</f>
        <v>81299.01</v>
      </c>
      <c r="H7320" t="s">
        <v>5380</v>
      </c>
    </row>
    <row r="7321" spans="2:8" x14ac:dyDescent="0.2">
      <c r="G7321" t="str">
        <f>"81299.09"</f>
        <v>81299.09</v>
      </c>
      <c r="H7321" t="s">
        <v>5379</v>
      </c>
    </row>
    <row r="7322" spans="2:8" x14ac:dyDescent="0.2">
      <c r="C7322" t="str">
        <f>"813"</f>
        <v>813</v>
      </c>
      <c r="H7322" t="s">
        <v>5381</v>
      </c>
    </row>
    <row r="7323" spans="2:8" x14ac:dyDescent="0.2">
      <c r="D7323" t="str">
        <f>"8130"</f>
        <v>8130</v>
      </c>
      <c r="H7323" t="s">
        <v>5381</v>
      </c>
    </row>
    <row r="7324" spans="2:8" x14ac:dyDescent="0.2">
      <c r="E7324" t="str">
        <f>"81300"</f>
        <v>81300</v>
      </c>
      <c r="H7324" t="s">
        <v>5381</v>
      </c>
    </row>
    <row r="7325" spans="2:8" x14ac:dyDescent="0.2">
      <c r="F7325" t="str">
        <f>"81300.0"</f>
        <v>81300.0</v>
      </c>
      <c r="H7325" t="s">
        <v>5381</v>
      </c>
    </row>
    <row r="7326" spans="2:8" x14ac:dyDescent="0.2">
      <c r="G7326" t="str">
        <f>"81300.00"</f>
        <v>81300.00</v>
      </c>
      <c r="H7326" t="s">
        <v>5381</v>
      </c>
    </row>
    <row r="7327" spans="2:8" x14ac:dyDescent="0.2">
      <c r="B7327" t="str">
        <f>"82"</f>
        <v>82</v>
      </c>
      <c r="H7327" t="s">
        <v>5382</v>
      </c>
    </row>
    <row r="7328" spans="2:8" x14ac:dyDescent="0.2">
      <c r="C7328" t="str">
        <f>"821"</f>
        <v>821</v>
      </c>
      <c r="H7328" t="s">
        <v>5383</v>
      </c>
    </row>
    <row r="7329" spans="3:8" x14ac:dyDescent="0.2">
      <c r="D7329" t="str">
        <f>"8211"</f>
        <v>8211</v>
      </c>
      <c r="H7329" t="s">
        <v>5384</v>
      </c>
    </row>
    <row r="7330" spans="3:8" x14ac:dyDescent="0.2">
      <c r="E7330" t="str">
        <f>"82110"</f>
        <v>82110</v>
      </c>
      <c r="H7330" t="s">
        <v>5384</v>
      </c>
    </row>
    <row r="7331" spans="3:8" x14ac:dyDescent="0.2">
      <c r="F7331" t="str">
        <f>"82110.0"</f>
        <v>82110.0</v>
      </c>
      <c r="H7331" t="s">
        <v>5384</v>
      </c>
    </row>
    <row r="7332" spans="3:8" x14ac:dyDescent="0.2">
      <c r="G7332" t="str">
        <f>"82110.00"</f>
        <v>82110.00</v>
      </c>
      <c r="H7332" t="s">
        <v>5384</v>
      </c>
    </row>
    <row r="7333" spans="3:8" x14ac:dyDescent="0.2">
      <c r="D7333" t="str">
        <f>"8219"</f>
        <v>8219</v>
      </c>
      <c r="H7333" t="s">
        <v>5385</v>
      </c>
    </row>
    <row r="7334" spans="3:8" x14ac:dyDescent="0.2">
      <c r="E7334" t="str">
        <f>"82191"</f>
        <v>82191</v>
      </c>
      <c r="H7334" t="s">
        <v>5386</v>
      </c>
    </row>
    <row r="7335" spans="3:8" x14ac:dyDescent="0.2">
      <c r="F7335" t="str">
        <f>"82191.0"</f>
        <v>82191.0</v>
      </c>
      <c r="H7335" t="s">
        <v>5386</v>
      </c>
    </row>
    <row r="7336" spans="3:8" x14ac:dyDescent="0.2">
      <c r="G7336" t="str">
        <f>"82191.00"</f>
        <v>82191.00</v>
      </c>
      <c r="H7336" t="s">
        <v>5386</v>
      </c>
    </row>
    <row r="7337" spans="3:8" x14ac:dyDescent="0.2">
      <c r="E7337" t="str">
        <f>"82199"</f>
        <v>82199</v>
      </c>
      <c r="H7337" t="s">
        <v>5387</v>
      </c>
    </row>
    <row r="7338" spans="3:8" x14ac:dyDescent="0.2">
      <c r="F7338" t="str">
        <f>"82199.0"</f>
        <v>82199.0</v>
      </c>
      <c r="H7338" t="s">
        <v>5388</v>
      </c>
    </row>
    <row r="7339" spans="3:8" x14ac:dyDescent="0.2">
      <c r="G7339" t="str">
        <f>"82199.01"</f>
        <v>82199.01</v>
      </c>
      <c r="H7339" t="s">
        <v>5389</v>
      </c>
    </row>
    <row r="7340" spans="3:8" x14ac:dyDescent="0.2">
      <c r="G7340" t="str">
        <f>"82199.09"</f>
        <v>82199.09</v>
      </c>
      <c r="H7340" t="s">
        <v>5390</v>
      </c>
    </row>
    <row r="7341" spans="3:8" x14ac:dyDescent="0.2">
      <c r="C7341" t="str">
        <f>"822"</f>
        <v>822</v>
      </c>
      <c r="H7341" t="s">
        <v>5391</v>
      </c>
    </row>
    <row r="7342" spans="3:8" x14ac:dyDescent="0.2">
      <c r="D7342" t="str">
        <f>"8220"</f>
        <v>8220</v>
      </c>
      <c r="H7342" t="s">
        <v>5391</v>
      </c>
    </row>
    <row r="7343" spans="3:8" x14ac:dyDescent="0.2">
      <c r="E7343" t="str">
        <f>"82200"</f>
        <v>82200</v>
      </c>
      <c r="H7343" t="s">
        <v>5391</v>
      </c>
    </row>
    <row r="7344" spans="3:8" x14ac:dyDescent="0.2">
      <c r="F7344" t="str">
        <f>"82220.0"</f>
        <v>82220.0</v>
      </c>
      <c r="H7344" t="s">
        <v>5391</v>
      </c>
    </row>
    <row r="7345" spans="3:8" x14ac:dyDescent="0.2">
      <c r="G7345" t="str">
        <f>"82220.00"</f>
        <v>82220.00</v>
      </c>
      <c r="H7345" t="s">
        <v>5391</v>
      </c>
    </row>
    <row r="7346" spans="3:8" x14ac:dyDescent="0.2">
      <c r="C7346" t="str">
        <f>"823"</f>
        <v>823</v>
      </c>
      <c r="H7346" t="s">
        <v>5392</v>
      </c>
    </row>
    <row r="7347" spans="3:8" x14ac:dyDescent="0.2">
      <c r="D7347" t="str">
        <f>"8230"</f>
        <v>8230</v>
      </c>
      <c r="H7347" t="s">
        <v>5392</v>
      </c>
    </row>
    <row r="7348" spans="3:8" x14ac:dyDescent="0.2">
      <c r="E7348" t="str">
        <f>"82301"</f>
        <v>82301</v>
      </c>
      <c r="H7348" t="s">
        <v>5393</v>
      </c>
    </row>
    <row r="7349" spans="3:8" x14ac:dyDescent="0.2">
      <c r="F7349" t="str">
        <f>"82301.0"</f>
        <v>82301.0</v>
      </c>
      <c r="H7349" t="s">
        <v>5393</v>
      </c>
    </row>
    <row r="7350" spans="3:8" x14ac:dyDescent="0.2">
      <c r="G7350" t="str">
        <f>"82301.00"</f>
        <v>82301.00</v>
      </c>
      <c r="H7350" t="s">
        <v>5393</v>
      </c>
    </row>
    <row r="7351" spans="3:8" x14ac:dyDescent="0.2">
      <c r="E7351" t="str">
        <f>"82302"</f>
        <v>82302</v>
      </c>
      <c r="H7351" t="s">
        <v>5394</v>
      </c>
    </row>
    <row r="7352" spans="3:8" x14ac:dyDescent="0.2">
      <c r="F7352" t="str">
        <f>"82302.0"</f>
        <v>82302.0</v>
      </c>
      <c r="H7352" t="s">
        <v>5394</v>
      </c>
    </row>
    <row r="7353" spans="3:8" x14ac:dyDescent="0.2">
      <c r="G7353" t="str">
        <f>"82302.00"</f>
        <v>82302.00</v>
      </c>
      <c r="H7353" t="s">
        <v>5394</v>
      </c>
    </row>
    <row r="7354" spans="3:8" x14ac:dyDescent="0.2">
      <c r="C7354" t="str">
        <f>"829"</f>
        <v>829</v>
      </c>
      <c r="H7354" t="s">
        <v>5395</v>
      </c>
    </row>
    <row r="7355" spans="3:8" x14ac:dyDescent="0.2">
      <c r="D7355" t="str">
        <f>"8291"</f>
        <v>8291</v>
      </c>
      <c r="H7355" t="s">
        <v>5396</v>
      </c>
    </row>
    <row r="7356" spans="3:8" x14ac:dyDescent="0.2">
      <c r="E7356" t="str">
        <f>"82911"</f>
        <v>82911</v>
      </c>
      <c r="H7356" t="s">
        <v>5397</v>
      </c>
    </row>
    <row r="7357" spans="3:8" x14ac:dyDescent="0.2">
      <c r="F7357" t="str">
        <f>"82911.0"</f>
        <v>82911.0</v>
      </c>
      <c r="H7357" t="s">
        <v>5397</v>
      </c>
    </row>
    <row r="7358" spans="3:8" x14ac:dyDescent="0.2">
      <c r="G7358" t="str">
        <f>"82911.00"</f>
        <v>82911.00</v>
      </c>
      <c r="H7358" t="s">
        <v>5397</v>
      </c>
    </row>
    <row r="7359" spans="3:8" x14ac:dyDescent="0.2">
      <c r="E7359" t="str">
        <f>"82912"</f>
        <v>82912</v>
      </c>
      <c r="H7359" t="s">
        <v>5398</v>
      </c>
    </row>
    <row r="7360" spans="3:8" x14ac:dyDescent="0.2">
      <c r="F7360" t="str">
        <f>"82912.0"</f>
        <v>82912.0</v>
      </c>
      <c r="H7360" t="s">
        <v>5398</v>
      </c>
    </row>
    <row r="7361" spans="1:8" x14ac:dyDescent="0.2">
      <c r="G7361" t="str">
        <f>"82912.00"</f>
        <v>82912.00</v>
      </c>
      <c r="H7361" t="s">
        <v>5398</v>
      </c>
    </row>
    <row r="7362" spans="1:8" x14ac:dyDescent="0.2">
      <c r="D7362" t="str">
        <f>"8292"</f>
        <v>8292</v>
      </c>
      <c r="H7362" t="s">
        <v>5399</v>
      </c>
    </row>
    <row r="7363" spans="1:8" x14ac:dyDescent="0.2">
      <c r="E7363" t="str">
        <f>"82920"</f>
        <v>82920</v>
      </c>
      <c r="H7363" t="s">
        <v>5399</v>
      </c>
    </row>
    <row r="7364" spans="1:8" x14ac:dyDescent="0.2">
      <c r="F7364" t="str">
        <f>"82920.0"</f>
        <v>82920.0</v>
      </c>
      <c r="H7364" t="s">
        <v>5399</v>
      </c>
    </row>
    <row r="7365" spans="1:8" x14ac:dyDescent="0.2">
      <c r="G7365" t="str">
        <f>"82920.00"</f>
        <v>82920.00</v>
      </c>
      <c r="H7365" t="s">
        <v>5399</v>
      </c>
    </row>
    <row r="7366" spans="1:8" x14ac:dyDescent="0.2">
      <c r="D7366" t="str">
        <f>"8299"</f>
        <v>8299</v>
      </c>
      <c r="H7366" t="s">
        <v>5400</v>
      </c>
    </row>
    <row r="7367" spans="1:8" x14ac:dyDescent="0.2">
      <c r="E7367" t="str">
        <f>"82990"</f>
        <v>82990</v>
      </c>
      <c r="H7367" t="s">
        <v>5400</v>
      </c>
    </row>
    <row r="7368" spans="1:8" x14ac:dyDescent="0.2">
      <c r="F7368" t="str">
        <f>"82990.0"</f>
        <v>82990.0</v>
      </c>
      <c r="H7368" t="s">
        <v>5400</v>
      </c>
    </row>
    <row r="7369" spans="1:8" x14ac:dyDescent="0.2">
      <c r="G7369" t="str">
        <f>"82990.01"</f>
        <v>82990.01</v>
      </c>
      <c r="H7369" t="s">
        <v>5401</v>
      </c>
    </row>
    <row r="7370" spans="1:8" x14ac:dyDescent="0.2">
      <c r="G7370" t="str">
        <f>"82990.02"</f>
        <v>82990.02</v>
      </c>
      <c r="H7370" t="s">
        <v>5402</v>
      </c>
    </row>
    <row r="7371" spans="1:8" x14ac:dyDescent="0.2">
      <c r="G7371" t="str">
        <f>"82990.09"</f>
        <v>82990.09</v>
      </c>
      <c r="H7371" t="s">
        <v>5400</v>
      </c>
    </row>
    <row r="7372" spans="1:8" x14ac:dyDescent="0.2">
      <c r="A7372" t="s">
        <v>5403</v>
      </c>
      <c r="H7372" t="s">
        <v>5404</v>
      </c>
    </row>
    <row r="7373" spans="1:8" x14ac:dyDescent="0.2">
      <c r="B7373" t="str">
        <f>"84"</f>
        <v>84</v>
      </c>
      <c r="H7373" t="s">
        <v>5404</v>
      </c>
    </row>
    <row r="7374" spans="1:8" x14ac:dyDescent="0.2">
      <c r="C7374" t="str">
        <f>"841"</f>
        <v>841</v>
      </c>
      <c r="H7374" t="s">
        <v>5405</v>
      </c>
    </row>
    <row r="7375" spans="1:8" x14ac:dyDescent="0.2">
      <c r="D7375" t="str">
        <f>"8411"</f>
        <v>8411</v>
      </c>
      <c r="H7375" t="s">
        <v>5406</v>
      </c>
    </row>
    <row r="7376" spans="1:8" x14ac:dyDescent="0.2">
      <c r="E7376" t="str">
        <f>"84111"</f>
        <v>84111</v>
      </c>
      <c r="H7376" t="s">
        <v>5407</v>
      </c>
    </row>
    <row r="7377" spans="4:8" x14ac:dyDescent="0.2">
      <c r="F7377" t="str">
        <f>"84111.0"</f>
        <v>84111.0</v>
      </c>
      <c r="H7377" t="s">
        <v>5407</v>
      </c>
    </row>
    <row r="7378" spans="4:8" x14ac:dyDescent="0.2">
      <c r="G7378" t="str">
        <f>"84111.01"</f>
        <v>84111.01</v>
      </c>
      <c r="H7378" t="s">
        <v>5408</v>
      </c>
    </row>
    <row r="7379" spans="4:8" x14ac:dyDescent="0.2">
      <c r="G7379" t="str">
        <f>"84111.02"</f>
        <v>84111.02</v>
      </c>
      <c r="H7379" t="s">
        <v>5409</v>
      </c>
    </row>
    <row r="7380" spans="4:8" x14ac:dyDescent="0.2">
      <c r="G7380" t="str">
        <f>"84111.03"</f>
        <v>84111.03</v>
      </c>
      <c r="H7380" t="s">
        <v>5410</v>
      </c>
    </row>
    <row r="7381" spans="4:8" x14ac:dyDescent="0.2">
      <c r="G7381" t="str">
        <f>"84111.04"</f>
        <v>84111.04</v>
      </c>
      <c r="H7381" t="s">
        <v>5411</v>
      </c>
    </row>
    <row r="7382" spans="4:8" x14ac:dyDescent="0.2">
      <c r="G7382" t="str">
        <f>"84111.09"</f>
        <v>84111.09</v>
      </c>
      <c r="H7382" t="s">
        <v>5412</v>
      </c>
    </row>
    <row r="7383" spans="4:8" x14ac:dyDescent="0.2">
      <c r="E7383" t="str">
        <f>"84114"</f>
        <v>84114</v>
      </c>
      <c r="H7383" t="s">
        <v>5413</v>
      </c>
    </row>
    <row r="7384" spans="4:8" x14ac:dyDescent="0.2">
      <c r="F7384" t="str">
        <f>"84114.0"</f>
        <v>84114.0</v>
      </c>
      <c r="H7384" t="s">
        <v>5413</v>
      </c>
    </row>
    <row r="7385" spans="4:8" x14ac:dyDescent="0.2">
      <c r="G7385" t="str">
        <f>"84114.01"</f>
        <v>84114.01</v>
      </c>
      <c r="H7385" t="s">
        <v>5414</v>
      </c>
    </row>
    <row r="7386" spans="4:8" x14ac:dyDescent="0.2">
      <c r="G7386" t="str">
        <f>"84114.09"</f>
        <v>84114.09</v>
      </c>
      <c r="H7386" t="s">
        <v>5415</v>
      </c>
    </row>
    <row r="7387" spans="4:8" x14ac:dyDescent="0.2">
      <c r="D7387" t="str">
        <f>"8412"</f>
        <v>8412</v>
      </c>
      <c r="H7387" t="s">
        <v>5416</v>
      </c>
    </row>
    <row r="7388" spans="4:8" x14ac:dyDescent="0.2">
      <c r="E7388" t="str">
        <f>"84121"</f>
        <v>84121</v>
      </c>
      <c r="H7388" t="s">
        <v>5417</v>
      </c>
    </row>
    <row r="7389" spans="4:8" x14ac:dyDescent="0.2">
      <c r="F7389" t="str">
        <f>"84121.0"</f>
        <v>84121.0</v>
      </c>
      <c r="H7389" t="s">
        <v>5417</v>
      </c>
    </row>
    <row r="7390" spans="4:8" x14ac:dyDescent="0.2">
      <c r="G7390" t="str">
        <f>"84121.00"</f>
        <v>84121.00</v>
      </c>
      <c r="H7390" t="s">
        <v>5417</v>
      </c>
    </row>
    <row r="7391" spans="4:8" x14ac:dyDescent="0.2">
      <c r="E7391" t="str">
        <f>"84122"</f>
        <v>84122</v>
      </c>
      <c r="H7391" t="s">
        <v>5418</v>
      </c>
    </row>
    <row r="7392" spans="4:8" x14ac:dyDescent="0.2">
      <c r="F7392" t="str">
        <f>"84122.0"</f>
        <v>84122.0</v>
      </c>
      <c r="H7392" t="s">
        <v>5418</v>
      </c>
    </row>
    <row r="7393" spans="4:8" x14ac:dyDescent="0.2">
      <c r="G7393" t="str">
        <f>"84122.00"</f>
        <v>84122.00</v>
      </c>
      <c r="H7393" t="s">
        <v>5418</v>
      </c>
    </row>
    <row r="7394" spans="4:8" x14ac:dyDescent="0.2">
      <c r="E7394" t="str">
        <f>"84123"</f>
        <v>84123</v>
      </c>
      <c r="H7394" t="s">
        <v>5419</v>
      </c>
    </row>
    <row r="7395" spans="4:8" x14ac:dyDescent="0.2">
      <c r="F7395" t="str">
        <f>"84123.0"</f>
        <v>84123.0</v>
      </c>
      <c r="H7395" t="s">
        <v>5419</v>
      </c>
    </row>
    <row r="7396" spans="4:8" x14ac:dyDescent="0.2">
      <c r="G7396" t="str">
        <f>"84123.00"</f>
        <v>84123.00</v>
      </c>
      <c r="H7396" t="s">
        <v>5419</v>
      </c>
    </row>
    <row r="7397" spans="4:8" x14ac:dyDescent="0.2">
      <c r="E7397" t="str">
        <f>"84124"</f>
        <v>84124</v>
      </c>
      <c r="H7397" t="s">
        <v>5420</v>
      </c>
    </row>
    <row r="7398" spans="4:8" x14ac:dyDescent="0.2">
      <c r="F7398" t="str">
        <f>"84124.0"</f>
        <v>84124.0</v>
      </c>
      <c r="H7398" t="s">
        <v>5420</v>
      </c>
    </row>
    <row r="7399" spans="4:8" x14ac:dyDescent="0.2">
      <c r="G7399" t="str">
        <f>"84124.00"</f>
        <v>84124.00</v>
      </c>
      <c r="H7399" t="s">
        <v>5420</v>
      </c>
    </row>
    <row r="7400" spans="4:8" x14ac:dyDescent="0.2">
      <c r="D7400" t="str">
        <f>"8413"</f>
        <v>8413</v>
      </c>
      <c r="H7400" t="s">
        <v>5421</v>
      </c>
    </row>
    <row r="7401" spans="4:8" x14ac:dyDescent="0.2">
      <c r="E7401" t="str">
        <f>"84131"</f>
        <v>84131</v>
      </c>
      <c r="H7401" t="s">
        <v>5422</v>
      </c>
    </row>
    <row r="7402" spans="4:8" x14ac:dyDescent="0.2">
      <c r="F7402" t="str">
        <f>"84131.0"</f>
        <v>84131.0</v>
      </c>
      <c r="H7402" t="s">
        <v>5423</v>
      </c>
    </row>
    <row r="7403" spans="4:8" x14ac:dyDescent="0.2">
      <c r="G7403" t="str">
        <f>"84131.00"</f>
        <v>84131.00</v>
      </c>
      <c r="H7403" t="s">
        <v>5423</v>
      </c>
    </row>
    <row r="7404" spans="4:8" x14ac:dyDescent="0.2">
      <c r="E7404" t="str">
        <f>"84132"</f>
        <v>84132</v>
      </c>
      <c r="H7404" t="s">
        <v>5424</v>
      </c>
    </row>
    <row r="7405" spans="4:8" x14ac:dyDescent="0.2">
      <c r="F7405" t="str">
        <f>"84132.0"</f>
        <v>84132.0</v>
      </c>
      <c r="H7405" t="s">
        <v>5425</v>
      </c>
    </row>
    <row r="7406" spans="4:8" x14ac:dyDescent="0.2">
      <c r="G7406" t="str">
        <f>"84132.00"</f>
        <v>84132.00</v>
      </c>
      <c r="H7406" t="s">
        <v>5425</v>
      </c>
    </row>
    <row r="7407" spans="4:8" x14ac:dyDescent="0.2">
      <c r="E7407" t="str">
        <f>"84133"</f>
        <v>84133</v>
      </c>
      <c r="H7407" t="s">
        <v>5426</v>
      </c>
    </row>
    <row r="7408" spans="4:8" x14ac:dyDescent="0.2">
      <c r="F7408" t="str">
        <f>"84133.0"</f>
        <v>84133.0</v>
      </c>
      <c r="H7408" t="s">
        <v>5427</v>
      </c>
    </row>
    <row r="7409" spans="3:8" x14ac:dyDescent="0.2">
      <c r="G7409" t="str">
        <f>"84133.00"</f>
        <v>84133.00</v>
      </c>
      <c r="H7409" t="s">
        <v>5427</v>
      </c>
    </row>
    <row r="7410" spans="3:8" x14ac:dyDescent="0.2">
      <c r="E7410" t="str">
        <f>"84134"</f>
        <v>84134</v>
      </c>
      <c r="H7410" t="s">
        <v>5428</v>
      </c>
    </row>
    <row r="7411" spans="3:8" x14ac:dyDescent="0.2">
      <c r="F7411" t="str">
        <f>"84134.0"</f>
        <v>84134.0</v>
      </c>
      <c r="H7411" t="s">
        <v>5429</v>
      </c>
    </row>
    <row r="7412" spans="3:8" x14ac:dyDescent="0.2">
      <c r="G7412" t="str">
        <f>"84134.00"</f>
        <v>84134.00</v>
      </c>
      <c r="H7412" t="s">
        <v>5429</v>
      </c>
    </row>
    <row r="7413" spans="3:8" x14ac:dyDescent="0.2">
      <c r="E7413" t="str">
        <f>"84135"</f>
        <v>84135</v>
      </c>
      <c r="H7413" t="s">
        <v>5430</v>
      </c>
    </row>
    <row r="7414" spans="3:8" x14ac:dyDescent="0.2">
      <c r="F7414" t="str">
        <f>"84135.0"</f>
        <v>84135.0</v>
      </c>
      <c r="H7414" t="s">
        <v>5431</v>
      </c>
    </row>
    <row r="7415" spans="3:8" x14ac:dyDescent="0.2">
      <c r="G7415" t="str">
        <f>"84135.00"</f>
        <v>84135.00</v>
      </c>
      <c r="H7415" t="s">
        <v>5431</v>
      </c>
    </row>
    <row r="7416" spans="3:8" x14ac:dyDescent="0.2">
      <c r="E7416" t="str">
        <f>"84136"</f>
        <v>84136</v>
      </c>
      <c r="H7416" t="s">
        <v>5432</v>
      </c>
    </row>
    <row r="7417" spans="3:8" x14ac:dyDescent="0.2">
      <c r="F7417" t="str">
        <f>"84136.0"</f>
        <v>84136.0</v>
      </c>
      <c r="H7417" t="s">
        <v>5433</v>
      </c>
    </row>
    <row r="7418" spans="3:8" x14ac:dyDescent="0.2">
      <c r="G7418" t="str">
        <f>"84136.01"</f>
        <v>84136.01</v>
      </c>
      <c r="H7418" t="s">
        <v>5434</v>
      </c>
    </row>
    <row r="7419" spans="3:8" x14ac:dyDescent="0.2">
      <c r="G7419" t="str">
        <f>"84136.02"</f>
        <v>84136.02</v>
      </c>
      <c r="H7419" t="s">
        <v>5435</v>
      </c>
    </row>
    <row r="7420" spans="3:8" x14ac:dyDescent="0.2">
      <c r="E7420" t="str">
        <f>"84137"</f>
        <v>84137</v>
      </c>
      <c r="H7420" t="s">
        <v>5436</v>
      </c>
    </row>
    <row r="7421" spans="3:8" x14ac:dyDescent="0.2">
      <c r="F7421" t="str">
        <f>"84137.0"</f>
        <v>84137.0</v>
      </c>
      <c r="H7421" t="s">
        <v>5437</v>
      </c>
    </row>
    <row r="7422" spans="3:8" x14ac:dyDescent="0.2">
      <c r="G7422" t="str">
        <f>"84137.01"</f>
        <v>84137.01</v>
      </c>
      <c r="H7422" t="s">
        <v>5438</v>
      </c>
    </row>
    <row r="7423" spans="3:8" x14ac:dyDescent="0.2">
      <c r="G7423" t="str">
        <f>"84137.02"</f>
        <v>84137.02</v>
      </c>
      <c r="H7423" t="s">
        <v>5437</v>
      </c>
    </row>
    <row r="7424" spans="3:8" x14ac:dyDescent="0.2">
      <c r="C7424" t="str">
        <f>"842"</f>
        <v>842</v>
      </c>
      <c r="H7424" t="s">
        <v>5439</v>
      </c>
    </row>
    <row r="7425" spans="4:8" x14ac:dyDescent="0.2">
      <c r="D7425" t="str">
        <f>"8421"</f>
        <v>8421</v>
      </c>
      <c r="H7425" t="s">
        <v>5440</v>
      </c>
    </row>
    <row r="7426" spans="4:8" x14ac:dyDescent="0.2">
      <c r="E7426" t="str">
        <f>"84210"</f>
        <v>84210</v>
      </c>
      <c r="H7426" t="s">
        <v>5440</v>
      </c>
    </row>
    <row r="7427" spans="4:8" x14ac:dyDescent="0.2">
      <c r="F7427" t="str">
        <f>"84210.0"</f>
        <v>84210.0</v>
      </c>
      <c r="H7427" t="s">
        <v>5440</v>
      </c>
    </row>
    <row r="7428" spans="4:8" x14ac:dyDescent="0.2">
      <c r="G7428" t="str">
        <f>"84210.01"</f>
        <v>84210.01</v>
      </c>
      <c r="H7428" t="s">
        <v>5441</v>
      </c>
    </row>
    <row r="7429" spans="4:8" x14ac:dyDescent="0.2">
      <c r="G7429" t="str">
        <f>"84210.02"</f>
        <v>84210.02</v>
      </c>
      <c r="H7429" t="s">
        <v>5442</v>
      </c>
    </row>
    <row r="7430" spans="4:8" x14ac:dyDescent="0.2">
      <c r="G7430" t="str">
        <f>"84210.03"</f>
        <v>84210.03</v>
      </c>
      <c r="H7430" t="s">
        <v>5443</v>
      </c>
    </row>
    <row r="7431" spans="4:8" x14ac:dyDescent="0.2">
      <c r="D7431" t="str">
        <f>"8422"</f>
        <v>8422</v>
      </c>
      <c r="H7431" t="s">
        <v>5444</v>
      </c>
    </row>
    <row r="7432" spans="4:8" x14ac:dyDescent="0.2">
      <c r="E7432" t="str">
        <f>"84220"</f>
        <v>84220</v>
      </c>
      <c r="H7432" t="s">
        <v>5444</v>
      </c>
    </row>
    <row r="7433" spans="4:8" x14ac:dyDescent="0.2">
      <c r="F7433" t="str">
        <f>"84220.0"</f>
        <v>84220.0</v>
      </c>
      <c r="H7433" t="s">
        <v>5444</v>
      </c>
    </row>
    <row r="7434" spans="4:8" x14ac:dyDescent="0.2">
      <c r="G7434" t="str">
        <f>"84220.01"</f>
        <v>84220.01</v>
      </c>
      <c r="H7434" t="s">
        <v>5445</v>
      </c>
    </row>
    <row r="7435" spans="4:8" x14ac:dyDescent="0.2">
      <c r="G7435" t="str">
        <f>"84220.02"</f>
        <v>84220.02</v>
      </c>
      <c r="H7435" t="s">
        <v>5446</v>
      </c>
    </row>
    <row r="7436" spans="4:8" x14ac:dyDescent="0.2">
      <c r="D7436" t="str">
        <f>"8423"</f>
        <v>8423</v>
      </c>
      <c r="H7436" t="s">
        <v>5447</v>
      </c>
    </row>
    <row r="7437" spans="4:8" x14ac:dyDescent="0.2">
      <c r="E7437" t="str">
        <f>"84231"</f>
        <v>84231</v>
      </c>
      <c r="H7437" t="s">
        <v>5448</v>
      </c>
    </row>
    <row r="7438" spans="4:8" x14ac:dyDescent="0.2">
      <c r="F7438" t="str">
        <f>"84231.0"</f>
        <v>84231.0</v>
      </c>
      <c r="H7438" t="s">
        <v>5448</v>
      </c>
    </row>
    <row r="7439" spans="4:8" x14ac:dyDescent="0.2">
      <c r="G7439" t="str">
        <f>"84231.01"</f>
        <v>84231.01</v>
      </c>
      <c r="H7439" t="s">
        <v>5448</v>
      </c>
    </row>
    <row r="7440" spans="4:8" x14ac:dyDescent="0.2">
      <c r="G7440" t="str">
        <f>"84231.09"</f>
        <v>84231.09</v>
      </c>
      <c r="H7440" t="s">
        <v>5449</v>
      </c>
    </row>
    <row r="7441" spans="3:8" x14ac:dyDescent="0.2">
      <c r="E7441" t="str">
        <f>"84232"</f>
        <v>84232</v>
      </c>
      <c r="H7441" t="s">
        <v>5450</v>
      </c>
    </row>
    <row r="7442" spans="3:8" x14ac:dyDescent="0.2">
      <c r="F7442" t="str">
        <f>"84232.0"</f>
        <v>84232.0</v>
      </c>
      <c r="H7442" t="s">
        <v>5450</v>
      </c>
    </row>
    <row r="7443" spans="3:8" x14ac:dyDescent="0.2">
      <c r="G7443" t="str">
        <f>"84232.01"</f>
        <v>84232.01</v>
      </c>
      <c r="H7443" t="s">
        <v>5451</v>
      </c>
    </row>
    <row r="7444" spans="3:8" x14ac:dyDescent="0.2">
      <c r="G7444" t="str">
        <f>"84232.02"</f>
        <v>84232.02</v>
      </c>
      <c r="H7444" t="s">
        <v>5452</v>
      </c>
    </row>
    <row r="7445" spans="3:8" x14ac:dyDescent="0.2">
      <c r="E7445" t="str">
        <f>"84233"</f>
        <v>84233</v>
      </c>
      <c r="H7445" t="s">
        <v>5453</v>
      </c>
    </row>
    <row r="7446" spans="3:8" x14ac:dyDescent="0.2">
      <c r="F7446" t="str">
        <f>"84233.0"</f>
        <v>84233.0</v>
      </c>
      <c r="H7446" t="s">
        <v>5453</v>
      </c>
    </row>
    <row r="7447" spans="3:8" x14ac:dyDescent="0.2">
      <c r="G7447" t="str">
        <f>"84233.01"</f>
        <v>84233.01</v>
      </c>
      <c r="H7447" t="s">
        <v>5454</v>
      </c>
    </row>
    <row r="7448" spans="3:8" x14ac:dyDescent="0.2">
      <c r="G7448" t="str">
        <f>"84233.09"</f>
        <v>84233.09</v>
      </c>
      <c r="H7448" t="s">
        <v>5455</v>
      </c>
    </row>
    <row r="7449" spans="3:8" x14ac:dyDescent="0.2">
      <c r="C7449" t="str">
        <f>"843"</f>
        <v>843</v>
      </c>
      <c r="H7449" t="s">
        <v>5456</v>
      </c>
    </row>
    <row r="7450" spans="3:8" x14ac:dyDescent="0.2">
      <c r="D7450" t="str">
        <f>"8430"</f>
        <v>8430</v>
      </c>
      <c r="H7450" t="s">
        <v>5456</v>
      </c>
    </row>
    <row r="7451" spans="3:8" x14ac:dyDescent="0.2">
      <c r="E7451" t="str">
        <f>"84300"</f>
        <v>84300</v>
      </c>
      <c r="H7451" t="s">
        <v>5456</v>
      </c>
    </row>
    <row r="7452" spans="3:8" x14ac:dyDescent="0.2">
      <c r="F7452" t="str">
        <f>"84300.0"</f>
        <v>84300.0</v>
      </c>
      <c r="H7452" t="s">
        <v>5456</v>
      </c>
    </row>
    <row r="7453" spans="3:8" x14ac:dyDescent="0.2">
      <c r="G7453" t="str">
        <f>"84300.01"</f>
        <v>84300.01</v>
      </c>
      <c r="H7453" t="s">
        <v>5457</v>
      </c>
    </row>
    <row r="7454" spans="3:8" x14ac:dyDescent="0.2">
      <c r="G7454" t="str">
        <f>"84300.02"</f>
        <v>84300.02</v>
      </c>
      <c r="H7454" t="s">
        <v>5458</v>
      </c>
    </row>
    <row r="7455" spans="3:8" x14ac:dyDescent="0.2">
      <c r="G7455" t="str">
        <f>"84300.03"</f>
        <v>84300.03</v>
      </c>
      <c r="H7455" t="s">
        <v>5459</v>
      </c>
    </row>
    <row r="7456" spans="3:8" x14ac:dyDescent="0.2">
      <c r="G7456" t="str">
        <f>"84300.04"</f>
        <v>84300.04</v>
      </c>
      <c r="H7456" t="s">
        <v>5460</v>
      </c>
    </row>
    <row r="7457" spans="1:8" x14ac:dyDescent="0.2">
      <c r="A7457" t="s">
        <v>5461</v>
      </c>
      <c r="H7457" t="s">
        <v>5462</v>
      </c>
    </row>
    <row r="7458" spans="1:8" x14ac:dyDescent="0.2">
      <c r="B7458" t="str">
        <f>"85"</f>
        <v>85</v>
      </c>
      <c r="H7458" t="s">
        <v>5462</v>
      </c>
    </row>
    <row r="7459" spans="1:8" x14ac:dyDescent="0.2">
      <c r="C7459" t="str">
        <f>"851"</f>
        <v>851</v>
      </c>
      <c r="H7459" t="s">
        <v>5463</v>
      </c>
    </row>
    <row r="7460" spans="1:8" x14ac:dyDescent="0.2">
      <c r="D7460" t="str">
        <f>"8510"</f>
        <v>8510</v>
      </c>
      <c r="H7460" t="s">
        <v>5463</v>
      </c>
    </row>
    <row r="7461" spans="1:8" x14ac:dyDescent="0.2">
      <c r="E7461" t="str">
        <f>"85101"</f>
        <v>85101</v>
      </c>
      <c r="H7461" t="s">
        <v>5464</v>
      </c>
    </row>
    <row r="7462" spans="1:8" x14ac:dyDescent="0.2">
      <c r="F7462" t="str">
        <f>"85101.0"</f>
        <v>85101.0</v>
      </c>
      <c r="H7462" t="s">
        <v>5464</v>
      </c>
    </row>
    <row r="7463" spans="1:8" x14ac:dyDescent="0.2">
      <c r="G7463" t="str">
        <f>"85101.00"</f>
        <v>85101.00</v>
      </c>
      <c r="H7463" t="s">
        <v>5464</v>
      </c>
    </row>
    <row r="7464" spans="1:8" x14ac:dyDescent="0.2">
      <c r="E7464" t="str">
        <f>"85102"</f>
        <v>85102</v>
      </c>
      <c r="H7464" t="s">
        <v>5465</v>
      </c>
    </row>
    <row r="7465" spans="1:8" x14ac:dyDescent="0.2">
      <c r="F7465" t="str">
        <f>"85102.0"</f>
        <v>85102.0</v>
      </c>
      <c r="H7465" t="s">
        <v>5465</v>
      </c>
    </row>
    <row r="7466" spans="1:8" x14ac:dyDescent="0.2">
      <c r="G7466" t="str">
        <f>"85102.00"</f>
        <v>85102.00</v>
      </c>
      <c r="H7466" t="s">
        <v>5465</v>
      </c>
    </row>
    <row r="7467" spans="1:8" x14ac:dyDescent="0.2">
      <c r="E7467" t="str">
        <f>"85103"</f>
        <v>85103</v>
      </c>
      <c r="H7467" t="s">
        <v>5466</v>
      </c>
    </row>
    <row r="7468" spans="1:8" x14ac:dyDescent="0.2">
      <c r="F7468" t="str">
        <f>"85103.0"</f>
        <v>85103.0</v>
      </c>
      <c r="H7468" t="s">
        <v>5466</v>
      </c>
    </row>
    <row r="7469" spans="1:8" x14ac:dyDescent="0.2">
      <c r="G7469" t="str">
        <f>"85103.01"</f>
        <v>85103.01</v>
      </c>
      <c r="H7469" t="s">
        <v>5467</v>
      </c>
    </row>
    <row r="7470" spans="1:8" x14ac:dyDescent="0.2">
      <c r="G7470" t="str">
        <f>"85103.02"</f>
        <v>85103.02</v>
      </c>
      <c r="H7470" t="s">
        <v>5468</v>
      </c>
    </row>
    <row r="7471" spans="1:8" x14ac:dyDescent="0.2">
      <c r="C7471" t="str">
        <f>"852"</f>
        <v>852</v>
      </c>
      <c r="H7471" t="s">
        <v>5469</v>
      </c>
    </row>
    <row r="7472" spans="1:8" x14ac:dyDescent="0.2">
      <c r="D7472" t="str">
        <f>"8521"</f>
        <v>8521</v>
      </c>
      <c r="H7472" t="s">
        <v>5470</v>
      </c>
    </row>
    <row r="7473" spans="4:8" x14ac:dyDescent="0.2">
      <c r="E7473" t="str">
        <f>"85211"</f>
        <v>85211</v>
      </c>
      <c r="H7473" t="s">
        <v>5471</v>
      </c>
    </row>
    <row r="7474" spans="4:8" x14ac:dyDescent="0.2">
      <c r="F7474" t="str">
        <f>"85211.0"</f>
        <v>85211.0</v>
      </c>
      <c r="H7474" t="s">
        <v>5471</v>
      </c>
    </row>
    <row r="7475" spans="4:8" x14ac:dyDescent="0.2">
      <c r="G7475" t="str">
        <f>"85211.01"</f>
        <v>85211.01</v>
      </c>
      <c r="H7475" t="s">
        <v>5472</v>
      </c>
    </row>
    <row r="7476" spans="4:8" x14ac:dyDescent="0.2">
      <c r="G7476" t="str">
        <f>"85211.02"</f>
        <v>85211.02</v>
      </c>
      <c r="H7476" t="s">
        <v>5473</v>
      </c>
    </row>
    <row r="7477" spans="4:8" x14ac:dyDescent="0.2">
      <c r="E7477" t="str">
        <f>"85212"</f>
        <v>85212</v>
      </c>
      <c r="H7477" t="s">
        <v>5474</v>
      </c>
    </row>
    <row r="7478" spans="4:8" x14ac:dyDescent="0.2">
      <c r="F7478" t="str">
        <f>"85212.0"</f>
        <v>85212.0</v>
      </c>
      <c r="H7478" t="s">
        <v>5474</v>
      </c>
    </row>
    <row r="7479" spans="4:8" x14ac:dyDescent="0.2">
      <c r="G7479" t="str">
        <f>"85212.01"</f>
        <v>85212.01</v>
      </c>
      <c r="H7479" t="s">
        <v>5475</v>
      </c>
    </row>
    <row r="7480" spans="4:8" x14ac:dyDescent="0.2">
      <c r="G7480" t="str">
        <f>"85212.02"</f>
        <v>85212.02</v>
      </c>
      <c r="H7480" t="s">
        <v>5476</v>
      </c>
    </row>
    <row r="7481" spans="4:8" x14ac:dyDescent="0.2">
      <c r="E7481" t="str">
        <f>"85213"</f>
        <v>85213</v>
      </c>
      <c r="H7481" t="s">
        <v>5477</v>
      </c>
    </row>
    <row r="7482" spans="4:8" x14ac:dyDescent="0.2">
      <c r="F7482" t="str">
        <f>"85213.0"</f>
        <v>85213.0</v>
      </c>
      <c r="H7482" t="s">
        <v>5477</v>
      </c>
    </row>
    <row r="7483" spans="4:8" x14ac:dyDescent="0.2">
      <c r="G7483" t="str">
        <f>"85213.01"</f>
        <v>85213.01</v>
      </c>
      <c r="H7483" t="s">
        <v>5478</v>
      </c>
    </row>
    <row r="7484" spans="4:8" x14ac:dyDescent="0.2">
      <c r="G7484" t="str">
        <f>"85213.02"</f>
        <v>85213.02</v>
      </c>
      <c r="H7484" t="s">
        <v>5479</v>
      </c>
    </row>
    <row r="7485" spans="4:8" x14ac:dyDescent="0.2">
      <c r="G7485" t="str">
        <f>"85213.03"</f>
        <v>85213.03</v>
      </c>
      <c r="H7485" t="s">
        <v>5480</v>
      </c>
    </row>
    <row r="7486" spans="4:8" x14ac:dyDescent="0.2">
      <c r="G7486" t="str">
        <f>"85213.04"</f>
        <v>85213.04</v>
      </c>
      <c r="H7486" t="s">
        <v>5481</v>
      </c>
    </row>
    <row r="7487" spans="4:8" x14ac:dyDescent="0.2">
      <c r="D7487" t="str">
        <f>"8522"</f>
        <v>8522</v>
      </c>
      <c r="H7487" t="s">
        <v>5482</v>
      </c>
    </row>
    <row r="7488" spans="4:8" x14ac:dyDescent="0.2">
      <c r="E7488" t="str">
        <f>"85220"</f>
        <v>85220</v>
      </c>
      <c r="H7488" t="s">
        <v>5482</v>
      </c>
    </row>
    <row r="7489" spans="3:8" x14ac:dyDescent="0.2">
      <c r="F7489" t="str">
        <f>"85220.0"</f>
        <v>85220.0</v>
      </c>
      <c r="H7489" t="s">
        <v>5482</v>
      </c>
    </row>
    <row r="7490" spans="3:8" x14ac:dyDescent="0.2">
      <c r="G7490" t="str">
        <f>"85220.01"</f>
        <v>85220.01</v>
      </c>
      <c r="H7490" t="s">
        <v>5483</v>
      </c>
    </row>
    <row r="7491" spans="3:8" x14ac:dyDescent="0.2">
      <c r="G7491" t="str">
        <f>"85220.02"</f>
        <v>85220.02</v>
      </c>
      <c r="H7491" t="s">
        <v>5484</v>
      </c>
    </row>
    <row r="7492" spans="3:8" x14ac:dyDescent="0.2">
      <c r="C7492" t="str">
        <f>"853"</f>
        <v>853</v>
      </c>
      <c r="H7492" t="s">
        <v>5485</v>
      </c>
    </row>
    <row r="7493" spans="3:8" x14ac:dyDescent="0.2">
      <c r="D7493" t="str">
        <f>"8530"</f>
        <v>8530</v>
      </c>
      <c r="H7493" t="s">
        <v>5485</v>
      </c>
    </row>
    <row r="7494" spans="3:8" x14ac:dyDescent="0.2">
      <c r="E7494" t="str">
        <f>"85301"</f>
        <v>85301</v>
      </c>
      <c r="H7494" t="s">
        <v>5486</v>
      </c>
    </row>
    <row r="7495" spans="3:8" x14ac:dyDescent="0.2">
      <c r="F7495" t="str">
        <f>"85301.0"</f>
        <v>85301.0</v>
      </c>
      <c r="H7495" t="s">
        <v>5486</v>
      </c>
    </row>
    <row r="7496" spans="3:8" x14ac:dyDescent="0.2">
      <c r="G7496" t="str">
        <f>"85301.01"</f>
        <v>85301.01</v>
      </c>
      <c r="H7496" t="s">
        <v>5487</v>
      </c>
    </row>
    <row r="7497" spans="3:8" x14ac:dyDescent="0.2">
      <c r="G7497" t="str">
        <f>"85301.02"</f>
        <v>85301.02</v>
      </c>
      <c r="H7497" t="s">
        <v>5488</v>
      </c>
    </row>
    <row r="7498" spans="3:8" x14ac:dyDescent="0.2">
      <c r="G7498" t="str">
        <f>"85301.03"</f>
        <v>85301.03</v>
      </c>
      <c r="H7498" t="s">
        <v>5489</v>
      </c>
    </row>
    <row r="7499" spans="3:8" x14ac:dyDescent="0.2">
      <c r="G7499" t="str">
        <f>"85301.04"</f>
        <v>85301.04</v>
      </c>
      <c r="H7499" t="s">
        <v>5490</v>
      </c>
    </row>
    <row r="7500" spans="3:8" x14ac:dyDescent="0.2">
      <c r="E7500" t="str">
        <f>"85302"</f>
        <v>85302</v>
      </c>
      <c r="H7500" t="s">
        <v>5491</v>
      </c>
    </row>
    <row r="7501" spans="3:8" x14ac:dyDescent="0.2">
      <c r="F7501" t="str">
        <f>"85302.0"</f>
        <v>85302.0</v>
      </c>
      <c r="H7501" t="s">
        <v>5491</v>
      </c>
    </row>
    <row r="7502" spans="3:8" x14ac:dyDescent="0.2">
      <c r="G7502" t="str">
        <f>"85302.01"</f>
        <v>85302.01</v>
      </c>
      <c r="H7502" t="s">
        <v>5492</v>
      </c>
    </row>
    <row r="7503" spans="3:8" x14ac:dyDescent="0.2">
      <c r="G7503" t="str">
        <f>"85302.02"</f>
        <v>85302.02</v>
      </c>
      <c r="H7503" t="s">
        <v>5493</v>
      </c>
    </row>
    <row r="7504" spans="3:8" x14ac:dyDescent="0.2">
      <c r="E7504" t="str">
        <f>"85303"</f>
        <v>85303</v>
      </c>
      <c r="H7504" t="s">
        <v>5494</v>
      </c>
    </row>
    <row r="7505" spans="3:8" x14ac:dyDescent="0.2">
      <c r="F7505" t="str">
        <f>"85303.0"</f>
        <v>85303.0</v>
      </c>
      <c r="H7505" t="s">
        <v>5494</v>
      </c>
    </row>
    <row r="7506" spans="3:8" x14ac:dyDescent="0.2">
      <c r="G7506" t="str">
        <f>"85303.01"</f>
        <v>85303.01</v>
      </c>
      <c r="H7506" t="s">
        <v>5495</v>
      </c>
    </row>
    <row r="7507" spans="3:8" x14ac:dyDescent="0.2">
      <c r="G7507" t="str">
        <f>"85303.02"</f>
        <v>85303.02</v>
      </c>
      <c r="H7507" t="s">
        <v>5496</v>
      </c>
    </row>
    <row r="7508" spans="3:8" x14ac:dyDescent="0.2">
      <c r="G7508" t="str">
        <f>"85303.03"</f>
        <v>85303.03</v>
      </c>
      <c r="H7508" t="s">
        <v>5497</v>
      </c>
    </row>
    <row r="7509" spans="3:8" x14ac:dyDescent="0.2">
      <c r="G7509" t="str">
        <f>"85303.04"</f>
        <v>85303.04</v>
      </c>
      <c r="H7509" t="s">
        <v>5498</v>
      </c>
    </row>
    <row r="7510" spans="3:8" x14ac:dyDescent="0.2">
      <c r="C7510" t="str">
        <f>"854"</f>
        <v>854</v>
      </c>
      <c r="H7510" t="s">
        <v>5499</v>
      </c>
    </row>
    <row r="7511" spans="3:8" x14ac:dyDescent="0.2">
      <c r="D7511" t="str">
        <f>"8541"</f>
        <v>8541</v>
      </c>
      <c r="H7511" t="s">
        <v>5500</v>
      </c>
    </row>
    <row r="7512" spans="3:8" x14ac:dyDescent="0.2">
      <c r="E7512" t="str">
        <f>"85410"</f>
        <v>85410</v>
      </c>
      <c r="H7512" t="s">
        <v>5500</v>
      </c>
    </row>
    <row r="7513" spans="3:8" x14ac:dyDescent="0.2">
      <c r="F7513" t="str">
        <f>"85410.0"</f>
        <v>85410.0</v>
      </c>
      <c r="H7513" t="s">
        <v>5500</v>
      </c>
    </row>
    <row r="7514" spans="3:8" x14ac:dyDescent="0.2">
      <c r="G7514" t="str">
        <f>"85410.00"</f>
        <v>85410.00</v>
      </c>
      <c r="H7514" t="s">
        <v>5500</v>
      </c>
    </row>
    <row r="7515" spans="3:8" x14ac:dyDescent="0.2">
      <c r="D7515" t="str">
        <f>"8542"</f>
        <v>8542</v>
      </c>
      <c r="H7515" t="s">
        <v>5501</v>
      </c>
    </row>
    <row r="7516" spans="3:8" x14ac:dyDescent="0.2">
      <c r="E7516" t="str">
        <f>"85421"</f>
        <v>85421</v>
      </c>
      <c r="H7516" t="s">
        <v>5502</v>
      </c>
    </row>
    <row r="7517" spans="3:8" x14ac:dyDescent="0.2">
      <c r="F7517" t="str">
        <f>"85421.0"</f>
        <v>85421.0</v>
      </c>
      <c r="H7517" t="s">
        <v>5502</v>
      </c>
    </row>
    <row r="7518" spans="3:8" x14ac:dyDescent="0.2">
      <c r="G7518" t="str">
        <f>"85421.00"</f>
        <v>85421.00</v>
      </c>
      <c r="H7518" t="s">
        <v>5502</v>
      </c>
    </row>
    <row r="7519" spans="3:8" x14ac:dyDescent="0.2">
      <c r="E7519" t="str">
        <f>"85422"</f>
        <v>85422</v>
      </c>
      <c r="H7519" t="s">
        <v>5503</v>
      </c>
    </row>
    <row r="7520" spans="3:8" x14ac:dyDescent="0.2">
      <c r="F7520" t="str">
        <f>"85422.0"</f>
        <v>85422.0</v>
      </c>
      <c r="H7520" t="s">
        <v>5503</v>
      </c>
    </row>
    <row r="7521" spans="4:8" x14ac:dyDescent="0.2">
      <c r="G7521" t="str">
        <f>"85422.00"</f>
        <v>85422.00</v>
      </c>
      <c r="H7521" t="s">
        <v>5503</v>
      </c>
    </row>
    <row r="7522" spans="4:8" x14ac:dyDescent="0.2">
      <c r="E7522" t="str">
        <f>"85423"</f>
        <v>85423</v>
      </c>
      <c r="H7522" t="s">
        <v>5504</v>
      </c>
    </row>
    <row r="7523" spans="4:8" x14ac:dyDescent="0.2">
      <c r="F7523" t="str">
        <f>"85423.0"</f>
        <v>85423.0</v>
      </c>
      <c r="H7523" t="s">
        <v>5504</v>
      </c>
    </row>
    <row r="7524" spans="4:8" x14ac:dyDescent="0.2">
      <c r="G7524" t="str">
        <f>"85423.00"</f>
        <v>85423.00</v>
      </c>
      <c r="H7524" t="s">
        <v>5504</v>
      </c>
    </row>
    <row r="7525" spans="4:8" x14ac:dyDescent="0.2">
      <c r="E7525" t="str">
        <f>"85429"</f>
        <v>85429</v>
      </c>
      <c r="H7525" t="s">
        <v>5505</v>
      </c>
    </row>
    <row r="7526" spans="4:8" x14ac:dyDescent="0.2">
      <c r="F7526" t="str">
        <f>"85429.0"</f>
        <v>85429.0</v>
      </c>
      <c r="H7526" t="s">
        <v>5505</v>
      </c>
    </row>
    <row r="7527" spans="4:8" x14ac:dyDescent="0.2">
      <c r="G7527" t="str">
        <f>"85429.00"</f>
        <v>85429.00</v>
      </c>
      <c r="H7527" t="s">
        <v>5505</v>
      </c>
    </row>
    <row r="7528" spans="4:8" x14ac:dyDescent="0.2">
      <c r="D7528" t="str">
        <f>"8549"</f>
        <v>8549</v>
      </c>
      <c r="H7528" t="s">
        <v>5506</v>
      </c>
    </row>
    <row r="7529" spans="4:8" x14ac:dyDescent="0.2">
      <c r="E7529" t="str">
        <f>"85491"</f>
        <v>85491</v>
      </c>
      <c r="H7529" t="s">
        <v>5507</v>
      </c>
    </row>
    <row r="7530" spans="4:8" x14ac:dyDescent="0.2">
      <c r="F7530" t="str">
        <f>"85491.0"</f>
        <v>85491.0</v>
      </c>
      <c r="H7530" t="s">
        <v>5508</v>
      </c>
    </row>
    <row r="7531" spans="4:8" x14ac:dyDescent="0.2">
      <c r="G7531" t="str">
        <f>"85491.00"</f>
        <v>85491.00</v>
      </c>
      <c r="H7531" t="s">
        <v>5508</v>
      </c>
    </row>
    <row r="7532" spans="4:8" x14ac:dyDescent="0.2">
      <c r="E7532" t="str">
        <f>"85492"</f>
        <v>85492</v>
      </c>
      <c r="H7532" t="s">
        <v>5509</v>
      </c>
    </row>
    <row r="7533" spans="4:8" x14ac:dyDescent="0.2">
      <c r="F7533" t="str">
        <f>"85492.0"</f>
        <v>85492.0</v>
      </c>
      <c r="H7533" t="s">
        <v>5509</v>
      </c>
    </row>
    <row r="7534" spans="4:8" x14ac:dyDescent="0.2">
      <c r="G7534" t="str">
        <f>"85492.00"</f>
        <v>85492.00</v>
      </c>
      <c r="H7534" t="s">
        <v>5509</v>
      </c>
    </row>
    <row r="7535" spans="4:8" x14ac:dyDescent="0.2">
      <c r="E7535" t="str">
        <f>"85493"</f>
        <v>85493</v>
      </c>
      <c r="H7535" t="s">
        <v>5510</v>
      </c>
    </row>
    <row r="7536" spans="4:8" x14ac:dyDescent="0.2">
      <c r="F7536" t="str">
        <f>"85493.0"</f>
        <v>85493.0</v>
      </c>
      <c r="H7536" t="s">
        <v>5511</v>
      </c>
    </row>
    <row r="7537" spans="5:8" x14ac:dyDescent="0.2">
      <c r="G7537" t="str">
        <f>"85493.00"</f>
        <v>85493.00</v>
      </c>
      <c r="H7537" t="s">
        <v>5511</v>
      </c>
    </row>
    <row r="7538" spans="5:8" x14ac:dyDescent="0.2">
      <c r="E7538" t="str">
        <f>"85494"</f>
        <v>85494</v>
      </c>
      <c r="H7538" t="s">
        <v>5512</v>
      </c>
    </row>
    <row r="7539" spans="5:8" x14ac:dyDescent="0.2">
      <c r="F7539" t="str">
        <f>"85494.0"</f>
        <v>85494.0</v>
      </c>
      <c r="H7539" t="s">
        <v>5512</v>
      </c>
    </row>
    <row r="7540" spans="5:8" x14ac:dyDescent="0.2">
      <c r="G7540" t="str">
        <f>"85494.00"</f>
        <v>85494.00</v>
      </c>
      <c r="H7540" t="s">
        <v>5512</v>
      </c>
    </row>
    <row r="7541" spans="5:8" x14ac:dyDescent="0.2">
      <c r="E7541" t="str">
        <f>"85495"</f>
        <v>85495</v>
      </c>
      <c r="H7541" t="s">
        <v>5513</v>
      </c>
    </row>
    <row r="7542" spans="5:8" x14ac:dyDescent="0.2">
      <c r="F7542" t="str">
        <f>"85495.0"</f>
        <v>85495.0</v>
      </c>
      <c r="H7542" t="s">
        <v>5514</v>
      </c>
    </row>
    <row r="7543" spans="5:8" x14ac:dyDescent="0.2">
      <c r="G7543" t="str">
        <f>"85495.00"</f>
        <v>85495.00</v>
      </c>
      <c r="H7543" t="s">
        <v>5514</v>
      </c>
    </row>
    <row r="7544" spans="5:8" x14ac:dyDescent="0.2">
      <c r="E7544" t="str">
        <f>"85496"</f>
        <v>85496</v>
      </c>
      <c r="H7544" t="s">
        <v>5515</v>
      </c>
    </row>
    <row r="7545" spans="5:8" x14ac:dyDescent="0.2">
      <c r="F7545" t="str">
        <f>"85496.0"</f>
        <v>85496.0</v>
      </c>
      <c r="H7545" t="s">
        <v>5516</v>
      </c>
    </row>
    <row r="7546" spans="5:8" x14ac:dyDescent="0.2">
      <c r="G7546" t="str">
        <f>"85496.00"</f>
        <v>85496.00</v>
      </c>
      <c r="H7546" t="s">
        <v>5516</v>
      </c>
    </row>
    <row r="7547" spans="5:8" x14ac:dyDescent="0.2">
      <c r="E7547" t="str">
        <f>"85497"</f>
        <v>85497</v>
      </c>
      <c r="H7547" t="s">
        <v>5517</v>
      </c>
    </row>
    <row r="7548" spans="5:8" x14ac:dyDescent="0.2">
      <c r="F7548" t="str">
        <f>"85497.0"</f>
        <v>85497.0</v>
      </c>
      <c r="H7548" t="s">
        <v>5517</v>
      </c>
    </row>
    <row r="7549" spans="5:8" x14ac:dyDescent="0.2">
      <c r="G7549" t="str">
        <f>"85497.01"</f>
        <v>85497.01</v>
      </c>
      <c r="H7549" t="s">
        <v>5518</v>
      </c>
    </row>
    <row r="7550" spans="5:8" x14ac:dyDescent="0.2">
      <c r="G7550" t="str">
        <f>"85497.02"</f>
        <v>85497.02</v>
      </c>
      <c r="H7550" t="s">
        <v>5519</v>
      </c>
    </row>
    <row r="7551" spans="5:8" x14ac:dyDescent="0.2">
      <c r="E7551" t="str">
        <f>"85499"</f>
        <v>85499</v>
      </c>
      <c r="H7551" t="s">
        <v>5506</v>
      </c>
    </row>
    <row r="7552" spans="5:8" x14ac:dyDescent="0.2">
      <c r="F7552" t="str">
        <f>"85499.0"</f>
        <v>85499.0</v>
      </c>
      <c r="H7552" t="s">
        <v>5506</v>
      </c>
    </row>
    <row r="7553" spans="1:8" x14ac:dyDescent="0.2">
      <c r="G7553" t="str">
        <f>"85499.01"</f>
        <v>85499.01</v>
      </c>
      <c r="H7553" t="s">
        <v>5520</v>
      </c>
    </row>
    <row r="7554" spans="1:8" x14ac:dyDescent="0.2">
      <c r="G7554" t="str">
        <f>"85499.09"</f>
        <v>85499.09</v>
      </c>
      <c r="H7554" t="s">
        <v>5521</v>
      </c>
    </row>
    <row r="7555" spans="1:8" x14ac:dyDescent="0.2">
      <c r="C7555" t="str">
        <f>"855"</f>
        <v>855</v>
      </c>
      <c r="H7555" t="s">
        <v>5522</v>
      </c>
    </row>
    <row r="7556" spans="1:8" x14ac:dyDescent="0.2">
      <c r="D7556" t="str">
        <f>"8550"</f>
        <v>8550</v>
      </c>
      <c r="H7556" t="s">
        <v>5522</v>
      </c>
    </row>
    <row r="7557" spans="1:8" x14ac:dyDescent="0.2">
      <c r="E7557" t="str">
        <f>"85500"</f>
        <v>85500</v>
      </c>
      <c r="H7557" t="s">
        <v>5522</v>
      </c>
    </row>
    <row r="7558" spans="1:8" x14ac:dyDescent="0.2">
      <c r="F7558" t="str">
        <f>"85500.0"</f>
        <v>85500.0</v>
      </c>
      <c r="H7558" t="s">
        <v>5522</v>
      </c>
    </row>
    <row r="7559" spans="1:8" x14ac:dyDescent="0.2">
      <c r="G7559" t="str">
        <f>"85500.00"</f>
        <v>85500.00</v>
      </c>
      <c r="H7559" t="s">
        <v>5522</v>
      </c>
    </row>
    <row r="7560" spans="1:8" x14ac:dyDescent="0.2">
      <c r="C7560" t="str">
        <f>"856"</f>
        <v>856</v>
      </c>
      <c r="H7560" t="s">
        <v>5523</v>
      </c>
    </row>
    <row r="7561" spans="1:8" x14ac:dyDescent="0.2">
      <c r="D7561" t="str">
        <f>"8560"</f>
        <v>8560</v>
      </c>
      <c r="H7561" t="s">
        <v>5523</v>
      </c>
    </row>
    <row r="7562" spans="1:8" x14ac:dyDescent="0.2">
      <c r="E7562" t="str">
        <f>"85601"</f>
        <v>85601</v>
      </c>
      <c r="H7562" t="s">
        <v>5524</v>
      </c>
    </row>
    <row r="7563" spans="1:8" x14ac:dyDescent="0.2">
      <c r="F7563" t="str">
        <f>"85601.0"</f>
        <v>85601.0</v>
      </c>
      <c r="H7563" t="s">
        <v>5524</v>
      </c>
    </row>
    <row r="7564" spans="1:8" x14ac:dyDescent="0.2">
      <c r="G7564" t="str">
        <f>"85601.00"</f>
        <v>85601.00</v>
      </c>
      <c r="H7564" t="s">
        <v>5524</v>
      </c>
    </row>
    <row r="7565" spans="1:8" x14ac:dyDescent="0.2">
      <c r="E7565" t="str">
        <f>"85602"</f>
        <v>85602</v>
      </c>
      <c r="H7565" t="s">
        <v>5525</v>
      </c>
    </row>
    <row r="7566" spans="1:8" x14ac:dyDescent="0.2">
      <c r="F7566" t="str">
        <f>"85602.0"</f>
        <v>85602.0</v>
      </c>
      <c r="H7566" t="s">
        <v>5525</v>
      </c>
    </row>
    <row r="7567" spans="1:8" x14ac:dyDescent="0.2">
      <c r="G7567" t="str">
        <f>"85602.00"</f>
        <v>85602.00</v>
      </c>
      <c r="H7567" t="s">
        <v>5525</v>
      </c>
    </row>
    <row r="7568" spans="1:8" x14ac:dyDescent="0.2">
      <c r="A7568" t="s">
        <v>5526</v>
      </c>
      <c r="H7568" t="s">
        <v>5527</v>
      </c>
    </row>
    <row r="7569" spans="2:8" x14ac:dyDescent="0.2">
      <c r="B7569" t="str">
        <f>"86"</f>
        <v>86</v>
      </c>
      <c r="H7569" t="s">
        <v>5528</v>
      </c>
    </row>
    <row r="7570" spans="2:8" x14ac:dyDescent="0.2">
      <c r="C7570" t="str">
        <f>"861"</f>
        <v>861</v>
      </c>
      <c r="H7570" t="s">
        <v>5529</v>
      </c>
    </row>
    <row r="7571" spans="2:8" x14ac:dyDescent="0.2">
      <c r="D7571" t="str">
        <f>"8610"</f>
        <v>8610</v>
      </c>
      <c r="H7571" t="s">
        <v>5529</v>
      </c>
    </row>
    <row r="7572" spans="2:8" x14ac:dyDescent="0.2">
      <c r="E7572" t="str">
        <f>"86101"</f>
        <v>86101</v>
      </c>
      <c r="H7572" t="s">
        <v>5530</v>
      </c>
    </row>
    <row r="7573" spans="2:8" x14ac:dyDescent="0.2">
      <c r="F7573" t="str">
        <f>"86101.0"</f>
        <v>86101.0</v>
      </c>
      <c r="H7573" t="s">
        <v>5530</v>
      </c>
    </row>
    <row r="7574" spans="2:8" x14ac:dyDescent="0.2">
      <c r="G7574" t="str">
        <f>"86101.01"</f>
        <v>86101.01</v>
      </c>
      <c r="H7574" t="s">
        <v>5531</v>
      </c>
    </row>
    <row r="7575" spans="2:8" x14ac:dyDescent="0.2">
      <c r="G7575" t="str">
        <f>"86101.02"</f>
        <v>86101.02</v>
      </c>
      <c r="H7575" t="s">
        <v>5532</v>
      </c>
    </row>
    <row r="7576" spans="2:8" x14ac:dyDescent="0.2">
      <c r="G7576" t="str">
        <f>"86101.03"</f>
        <v>86101.03</v>
      </c>
      <c r="H7576" t="s">
        <v>5533</v>
      </c>
    </row>
    <row r="7577" spans="2:8" x14ac:dyDescent="0.2">
      <c r="G7577" t="str">
        <f>"86101.04"</f>
        <v>86101.04</v>
      </c>
      <c r="H7577" t="s">
        <v>5534</v>
      </c>
    </row>
    <row r="7578" spans="2:8" x14ac:dyDescent="0.2">
      <c r="G7578" t="str">
        <f>"86101.05"</f>
        <v>86101.05</v>
      </c>
      <c r="H7578" t="s">
        <v>5535</v>
      </c>
    </row>
    <row r="7579" spans="2:8" x14ac:dyDescent="0.2">
      <c r="G7579" t="str">
        <f>"86101.09"</f>
        <v>86101.09</v>
      </c>
      <c r="H7579" t="s">
        <v>5536</v>
      </c>
    </row>
    <row r="7580" spans="2:8" x14ac:dyDescent="0.2">
      <c r="E7580" t="str">
        <f>"86102"</f>
        <v>86102</v>
      </c>
      <c r="H7580" t="s">
        <v>5537</v>
      </c>
    </row>
    <row r="7581" spans="2:8" x14ac:dyDescent="0.2">
      <c r="F7581" t="str">
        <f>"86102.0"</f>
        <v>86102.0</v>
      </c>
      <c r="H7581" t="s">
        <v>5537</v>
      </c>
    </row>
    <row r="7582" spans="2:8" x14ac:dyDescent="0.2">
      <c r="G7582" t="str">
        <f>"86102.01"</f>
        <v>86102.01</v>
      </c>
      <c r="H7582" t="s">
        <v>5538</v>
      </c>
    </row>
    <row r="7583" spans="2:8" x14ac:dyDescent="0.2">
      <c r="G7583" t="str">
        <f>"86102.02"</f>
        <v>86102.02</v>
      </c>
      <c r="H7583" t="s">
        <v>5539</v>
      </c>
    </row>
    <row r="7584" spans="2:8" x14ac:dyDescent="0.2">
      <c r="G7584" t="str">
        <f>"86102.03"</f>
        <v>86102.03</v>
      </c>
      <c r="H7584" t="s">
        <v>5540</v>
      </c>
    </row>
    <row r="7585" spans="3:8" x14ac:dyDescent="0.2">
      <c r="G7585" t="str">
        <f>"86102.04"</f>
        <v>86102.04</v>
      </c>
      <c r="H7585" t="s">
        <v>5541</v>
      </c>
    </row>
    <row r="7586" spans="3:8" x14ac:dyDescent="0.2">
      <c r="G7586" t="str">
        <f>"86102.05"</f>
        <v>86102.05</v>
      </c>
      <c r="H7586" t="s">
        <v>5542</v>
      </c>
    </row>
    <row r="7587" spans="3:8" x14ac:dyDescent="0.2">
      <c r="G7587" t="str">
        <f>"86102.09"</f>
        <v>86102.09</v>
      </c>
      <c r="H7587" t="s">
        <v>5543</v>
      </c>
    </row>
    <row r="7588" spans="3:8" x14ac:dyDescent="0.2">
      <c r="C7588" t="str">
        <f>"862"</f>
        <v>862</v>
      </c>
      <c r="H7588" t="s">
        <v>5544</v>
      </c>
    </row>
    <row r="7589" spans="3:8" x14ac:dyDescent="0.2">
      <c r="D7589" t="str">
        <f>"8620"</f>
        <v>8620</v>
      </c>
      <c r="H7589" t="s">
        <v>5544</v>
      </c>
    </row>
    <row r="7590" spans="3:8" x14ac:dyDescent="0.2">
      <c r="E7590" t="str">
        <f>"86201"</f>
        <v>86201</v>
      </c>
      <c r="H7590" t="s">
        <v>5545</v>
      </c>
    </row>
    <row r="7591" spans="3:8" x14ac:dyDescent="0.2">
      <c r="F7591" t="str">
        <f>"86201.0"</f>
        <v>86201.0</v>
      </c>
      <c r="H7591" t="s">
        <v>5545</v>
      </c>
    </row>
    <row r="7592" spans="3:8" x14ac:dyDescent="0.2">
      <c r="G7592" t="str">
        <f>"86201.00"</f>
        <v>86201.00</v>
      </c>
      <c r="H7592" t="s">
        <v>5545</v>
      </c>
    </row>
    <row r="7593" spans="3:8" x14ac:dyDescent="0.2">
      <c r="E7593" t="str">
        <f>"86202"</f>
        <v>86202</v>
      </c>
      <c r="H7593" t="s">
        <v>5546</v>
      </c>
    </row>
    <row r="7594" spans="3:8" x14ac:dyDescent="0.2">
      <c r="F7594" t="str">
        <f>"86202.0"</f>
        <v>86202.0</v>
      </c>
      <c r="H7594" t="s">
        <v>5546</v>
      </c>
    </row>
    <row r="7595" spans="3:8" x14ac:dyDescent="0.2">
      <c r="G7595" t="str">
        <f>"86202.01"</f>
        <v>86202.01</v>
      </c>
      <c r="H7595" t="s">
        <v>5547</v>
      </c>
    </row>
    <row r="7596" spans="3:8" x14ac:dyDescent="0.2">
      <c r="G7596" t="str">
        <f>"86202.09"</f>
        <v>86202.09</v>
      </c>
      <c r="H7596" t="s">
        <v>5548</v>
      </c>
    </row>
    <row r="7597" spans="3:8" x14ac:dyDescent="0.2">
      <c r="E7597" t="str">
        <f>"86203"</f>
        <v>86203</v>
      </c>
      <c r="H7597" t="s">
        <v>5549</v>
      </c>
    </row>
    <row r="7598" spans="3:8" x14ac:dyDescent="0.2">
      <c r="F7598" t="str">
        <f>"86203.0"</f>
        <v>86203.0</v>
      </c>
      <c r="H7598" t="s">
        <v>5549</v>
      </c>
    </row>
    <row r="7599" spans="3:8" x14ac:dyDescent="0.2">
      <c r="G7599" t="str">
        <f>"86203.01"</f>
        <v>86203.01</v>
      </c>
      <c r="H7599" t="s">
        <v>5550</v>
      </c>
    </row>
    <row r="7600" spans="3:8" x14ac:dyDescent="0.2">
      <c r="G7600" t="str">
        <f>"86203.09"</f>
        <v>86203.09</v>
      </c>
      <c r="H7600" t="s">
        <v>5551</v>
      </c>
    </row>
    <row r="7601" spans="3:8" x14ac:dyDescent="0.2">
      <c r="C7601" t="str">
        <f>"869"</f>
        <v>869</v>
      </c>
      <c r="H7601" t="s">
        <v>5552</v>
      </c>
    </row>
    <row r="7602" spans="3:8" x14ac:dyDescent="0.2">
      <c r="D7602" t="str">
        <f>"8690"</f>
        <v>8690</v>
      </c>
      <c r="H7602" t="s">
        <v>5552</v>
      </c>
    </row>
    <row r="7603" spans="3:8" x14ac:dyDescent="0.2">
      <c r="E7603" t="str">
        <f>"86901"</f>
        <v>86901</v>
      </c>
      <c r="H7603" t="s">
        <v>5553</v>
      </c>
    </row>
    <row r="7604" spans="3:8" x14ac:dyDescent="0.2">
      <c r="F7604" t="str">
        <f>"86901.0"</f>
        <v>86901.0</v>
      </c>
      <c r="H7604" t="s">
        <v>5553</v>
      </c>
    </row>
    <row r="7605" spans="3:8" x14ac:dyDescent="0.2">
      <c r="G7605" t="str">
        <f>"86901.01"</f>
        <v>86901.01</v>
      </c>
      <c r="H7605" t="s">
        <v>5554</v>
      </c>
    </row>
    <row r="7606" spans="3:8" x14ac:dyDescent="0.2">
      <c r="G7606" t="str">
        <f>"86901.02"</f>
        <v>86901.02</v>
      </c>
      <c r="H7606" t="s">
        <v>5555</v>
      </c>
    </row>
    <row r="7607" spans="3:8" x14ac:dyDescent="0.2">
      <c r="E7607" t="str">
        <f>"86902"</f>
        <v>86902</v>
      </c>
      <c r="H7607" t="s">
        <v>5556</v>
      </c>
    </row>
    <row r="7608" spans="3:8" x14ac:dyDescent="0.2">
      <c r="F7608" t="str">
        <f>"86902.0"</f>
        <v>86902.0</v>
      </c>
      <c r="H7608" t="s">
        <v>5556</v>
      </c>
    </row>
    <row r="7609" spans="3:8" x14ac:dyDescent="0.2">
      <c r="G7609" t="str">
        <f>"86902.00"</f>
        <v>86902.00</v>
      </c>
      <c r="H7609" t="s">
        <v>5556</v>
      </c>
    </row>
    <row r="7610" spans="3:8" x14ac:dyDescent="0.2">
      <c r="E7610" t="str">
        <f>"86903"</f>
        <v>86903</v>
      </c>
      <c r="H7610" t="s">
        <v>5557</v>
      </c>
    </row>
    <row r="7611" spans="3:8" x14ac:dyDescent="0.2">
      <c r="F7611" t="str">
        <f>"86903.0"</f>
        <v>86903.0</v>
      </c>
      <c r="H7611" t="s">
        <v>5557</v>
      </c>
    </row>
    <row r="7612" spans="3:8" x14ac:dyDescent="0.2">
      <c r="G7612" t="str">
        <f>"86903.01"</f>
        <v>86903.01</v>
      </c>
      <c r="H7612" t="s">
        <v>5557</v>
      </c>
    </row>
    <row r="7613" spans="3:8" x14ac:dyDescent="0.2">
      <c r="G7613" t="str">
        <f>"86903.02"</f>
        <v>86903.02</v>
      </c>
      <c r="H7613" t="s">
        <v>5558</v>
      </c>
    </row>
    <row r="7614" spans="3:8" x14ac:dyDescent="0.2">
      <c r="E7614" t="str">
        <f>"86909"</f>
        <v>86909</v>
      </c>
      <c r="H7614" t="s">
        <v>5559</v>
      </c>
    </row>
    <row r="7615" spans="3:8" x14ac:dyDescent="0.2">
      <c r="F7615" t="str">
        <f>"86909.0"</f>
        <v>86909.0</v>
      </c>
      <c r="H7615" t="s">
        <v>5559</v>
      </c>
    </row>
    <row r="7616" spans="3:8" x14ac:dyDescent="0.2">
      <c r="G7616" t="str">
        <f>"86909.01"</f>
        <v>86909.01</v>
      </c>
      <c r="H7616" t="s">
        <v>5560</v>
      </c>
    </row>
    <row r="7617" spans="2:8" x14ac:dyDescent="0.2">
      <c r="G7617" t="str">
        <f>"86909.02"</f>
        <v>86909.02</v>
      </c>
      <c r="H7617" t="s">
        <v>5561</v>
      </c>
    </row>
    <row r="7618" spans="2:8" x14ac:dyDescent="0.2">
      <c r="G7618" t="str">
        <f>"86909.03"</f>
        <v>86909.03</v>
      </c>
      <c r="H7618" t="s">
        <v>5562</v>
      </c>
    </row>
    <row r="7619" spans="2:8" x14ac:dyDescent="0.2">
      <c r="G7619" t="str">
        <f>"86909.09"</f>
        <v>86909.09</v>
      </c>
      <c r="H7619" t="s">
        <v>5559</v>
      </c>
    </row>
    <row r="7620" spans="2:8" x14ac:dyDescent="0.2">
      <c r="B7620" t="str">
        <f>"87"</f>
        <v>87</v>
      </c>
      <c r="H7620" t="s">
        <v>5563</v>
      </c>
    </row>
    <row r="7621" spans="2:8" x14ac:dyDescent="0.2">
      <c r="C7621" t="str">
        <f>"871"</f>
        <v>871</v>
      </c>
      <c r="H7621" t="s">
        <v>5564</v>
      </c>
    </row>
    <row r="7622" spans="2:8" x14ac:dyDescent="0.2">
      <c r="D7622" t="str">
        <f>"8710"</f>
        <v>8710</v>
      </c>
      <c r="H7622" t="s">
        <v>5564</v>
      </c>
    </row>
    <row r="7623" spans="2:8" x14ac:dyDescent="0.2">
      <c r="E7623" t="str">
        <f>"87100"</f>
        <v>87100</v>
      </c>
      <c r="H7623" t="s">
        <v>5564</v>
      </c>
    </row>
    <row r="7624" spans="2:8" x14ac:dyDescent="0.2">
      <c r="F7624" t="str">
        <f>"87100.0"</f>
        <v>87100.0</v>
      </c>
      <c r="H7624" t="s">
        <v>5564</v>
      </c>
    </row>
    <row r="7625" spans="2:8" x14ac:dyDescent="0.2">
      <c r="G7625" t="str">
        <f>"87100.00"</f>
        <v>87100.00</v>
      </c>
      <c r="H7625" t="s">
        <v>5564</v>
      </c>
    </row>
    <row r="7626" spans="2:8" x14ac:dyDescent="0.2">
      <c r="C7626" t="str">
        <f>"872"</f>
        <v>872</v>
      </c>
      <c r="H7626" t="s">
        <v>5565</v>
      </c>
    </row>
    <row r="7627" spans="2:8" x14ac:dyDescent="0.2">
      <c r="D7627" t="str">
        <f>"8720"</f>
        <v>8720</v>
      </c>
      <c r="H7627" t="s">
        <v>5565</v>
      </c>
    </row>
    <row r="7628" spans="2:8" x14ac:dyDescent="0.2">
      <c r="E7628" t="str">
        <f>"87201"</f>
        <v>87201</v>
      </c>
      <c r="H7628" t="s">
        <v>5566</v>
      </c>
    </row>
    <row r="7629" spans="2:8" x14ac:dyDescent="0.2">
      <c r="F7629" t="str">
        <f>"87201.0"</f>
        <v>87201.0</v>
      </c>
      <c r="H7629" t="s">
        <v>5566</v>
      </c>
    </row>
    <row r="7630" spans="2:8" x14ac:dyDescent="0.2">
      <c r="G7630" t="str">
        <f>"87201.01"</f>
        <v>87201.01</v>
      </c>
      <c r="H7630" t="s">
        <v>5567</v>
      </c>
    </row>
    <row r="7631" spans="2:8" x14ac:dyDescent="0.2">
      <c r="G7631" t="str">
        <f>"87201.02"</f>
        <v>87201.02</v>
      </c>
      <c r="H7631" t="s">
        <v>5568</v>
      </c>
    </row>
    <row r="7632" spans="2:8" x14ac:dyDescent="0.2">
      <c r="E7632" t="str">
        <f>"87202"</f>
        <v>87202</v>
      </c>
      <c r="H7632" t="s">
        <v>5569</v>
      </c>
    </row>
    <row r="7633" spans="3:8" x14ac:dyDescent="0.2">
      <c r="F7633" t="str">
        <f>"87202.0"</f>
        <v>87202.0</v>
      </c>
      <c r="H7633" t="s">
        <v>5569</v>
      </c>
    </row>
    <row r="7634" spans="3:8" x14ac:dyDescent="0.2">
      <c r="G7634" t="str">
        <f>"87202.01"</f>
        <v>87202.01</v>
      </c>
      <c r="H7634" t="s">
        <v>5570</v>
      </c>
    </row>
    <row r="7635" spans="3:8" x14ac:dyDescent="0.2">
      <c r="G7635" t="str">
        <f>"87202.02"</f>
        <v>87202.02</v>
      </c>
      <c r="H7635" t="s">
        <v>5571</v>
      </c>
    </row>
    <row r="7636" spans="3:8" x14ac:dyDescent="0.2">
      <c r="E7636" t="str">
        <f>"87203"</f>
        <v>87203</v>
      </c>
      <c r="H7636" t="s">
        <v>5572</v>
      </c>
    </row>
    <row r="7637" spans="3:8" x14ac:dyDescent="0.2">
      <c r="F7637" t="str">
        <f>"87203.0"</f>
        <v>87203.0</v>
      </c>
      <c r="H7637" t="s">
        <v>5572</v>
      </c>
    </row>
    <row r="7638" spans="3:8" x14ac:dyDescent="0.2">
      <c r="G7638" t="str">
        <f>"87203.01"</f>
        <v>87203.01</v>
      </c>
      <c r="H7638" t="s">
        <v>5573</v>
      </c>
    </row>
    <row r="7639" spans="3:8" x14ac:dyDescent="0.2">
      <c r="G7639" t="str">
        <f>"87203.02"</f>
        <v>87203.02</v>
      </c>
      <c r="H7639" t="s">
        <v>5574</v>
      </c>
    </row>
    <row r="7640" spans="3:8" x14ac:dyDescent="0.2">
      <c r="C7640" t="str">
        <f>"873"</f>
        <v>873</v>
      </c>
      <c r="H7640" t="s">
        <v>5575</v>
      </c>
    </row>
    <row r="7641" spans="3:8" x14ac:dyDescent="0.2">
      <c r="D7641" t="str">
        <f>"8730"</f>
        <v>8730</v>
      </c>
      <c r="H7641" t="s">
        <v>5575</v>
      </c>
    </row>
    <row r="7642" spans="3:8" x14ac:dyDescent="0.2">
      <c r="E7642" t="str">
        <f>"87301"</f>
        <v>87301</v>
      </c>
      <c r="H7642" t="s">
        <v>5576</v>
      </c>
    </row>
    <row r="7643" spans="3:8" x14ac:dyDescent="0.2">
      <c r="F7643" t="str">
        <f>"87301.0"</f>
        <v>87301.0</v>
      </c>
      <c r="H7643" t="s">
        <v>5576</v>
      </c>
    </row>
    <row r="7644" spans="3:8" x14ac:dyDescent="0.2">
      <c r="G7644" t="str">
        <f>"87301.00"</f>
        <v>87301.00</v>
      </c>
      <c r="H7644" t="s">
        <v>5576</v>
      </c>
    </row>
    <row r="7645" spans="3:8" x14ac:dyDescent="0.2">
      <c r="E7645" t="str">
        <f>"87302"</f>
        <v>87302</v>
      </c>
      <c r="H7645" t="s">
        <v>5577</v>
      </c>
    </row>
    <row r="7646" spans="3:8" x14ac:dyDescent="0.2">
      <c r="F7646" t="str">
        <f>"87302.0"</f>
        <v>87302.0</v>
      </c>
      <c r="H7646" t="s">
        <v>5577</v>
      </c>
    </row>
    <row r="7647" spans="3:8" x14ac:dyDescent="0.2">
      <c r="G7647" t="str">
        <f>"87302.00"</f>
        <v>87302.00</v>
      </c>
      <c r="H7647" t="s">
        <v>5577</v>
      </c>
    </row>
    <row r="7648" spans="3:8" x14ac:dyDescent="0.2">
      <c r="E7648" t="str">
        <f>"87303"</f>
        <v>87303</v>
      </c>
      <c r="H7648" t="s">
        <v>5578</v>
      </c>
    </row>
    <row r="7649" spans="2:8" x14ac:dyDescent="0.2">
      <c r="F7649" t="str">
        <f>"87303.0"</f>
        <v>87303.0</v>
      </c>
      <c r="H7649" t="s">
        <v>5578</v>
      </c>
    </row>
    <row r="7650" spans="2:8" x14ac:dyDescent="0.2">
      <c r="G7650" t="str">
        <f>"87303.00"</f>
        <v>87303.00</v>
      </c>
      <c r="H7650" t="s">
        <v>5578</v>
      </c>
    </row>
    <row r="7651" spans="2:8" x14ac:dyDescent="0.2">
      <c r="C7651" t="str">
        <f>"879"</f>
        <v>879</v>
      </c>
      <c r="H7651" t="s">
        <v>5579</v>
      </c>
    </row>
    <row r="7652" spans="2:8" x14ac:dyDescent="0.2">
      <c r="D7652" t="str">
        <f>"8790"</f>
        <v>8790</v>
      </c>
      <c r="H7652" t="s">
        <v>5579</v>
      </c>
    </row>
    <row r="7653" spans="2:8" x14ac:dyDescent="0.2">
      <c r="E7653" t="str">
        <f>"87901"</f>
        <v>87901</v>
      </c>
      <c r="H7653" t="s">
        <v>5580</v>
      </c>
    </row>
    <row r="7654" spans="2:8" x14ac:dyDescent="0.2">
      <c r="F7654" t="str">
        <f>"87901.0"</f>
        <v>87901.0</v>
      </c>
      <c r="H7654" t="s">
        <v>5580</v>
      </c>
    </row>
    <row r="7655" spans="2:8" x14ac:dyDescent="0.2">
      <c r="G7655" t="str">
        <f>"87901.00"</f>
        <v>87901.00</v>
      </c>
      <c r="H7655" t="s">
        <v>5580</v>
      </c>
    </row>
    <row r="7656" spans="2:8" x14ac:dyDescent="0.2">
      <c r="E7656" t="str">
        <f>"87902"</f>
        <v>87902</v>
      </c>
      <c r="H7656" t="s">
        <v>5581</v>
      </c>
    </row>
    <row r="7657" spans="2:8" x14ac:dyDescent="0.2">
      <c r="F7657" t="str">
        <f>"87902.0"</f>
        <v>87902.0</v>
      </c>
      <c r="H7657" t="s">
        <v>5581</v>
      </c>
    </row>
    <row r="7658" spans="2:8" x14ac:dyDescent="0.2">
      <c r="G7658" t="str">
        <f>"87902.00"</f>
        <v>87902.00</v>
      </c>
      <c r="H7658" t="s">
        <v>5581</v>
      </c>
    </row>
    <row r="7659" spans="2:8" x14ac:dyDescent="0.2">
      <c r="E7659" t="str">
        <f>"87909"</f>
        <v>87909</v>
      </c>
      <c r="H7659" t="s">
        <v>5582</v>
      </c>
    </row>
    <row r="7660" spans="2:8" x14ac:dyDescent="0.2">
      <c r="F7660" t="str">
        <f>"87909.0"</f>
        <v>87909.0</v>
      </c>
      <c r="H7660" t="s">
        <v>5582</v>
      </c>
    </row>
    <row r="7661" spans="2:8" x14ac:dyDescent="0.2">
      <c r="G7661" t="str">
        <f>"87909.00"</f>
        <v>87909.00</v>
      </c>
      <c r="H7661" t="s">
        <v>5582</v>
      </c>
    </row>
    <row r="7662" spans="2:8" x14ac:dyDescent="0.2">
      <c r="B7662" t="str">
        <f>"88"</f>
        <v>88</v>
      </c>
      <c r="H7662" t="s">
        <v>5583</v>
      </c>
    </row>
    <row r="7663" spans="2:8" x14ac:dyDescent="0.2">
      <c r="C7663" t="str">
        <f>"881"</f>
        <v>881</v>
      </c>
      <c r="H7663" t="s">
        <v>5584</v>
      </c>
    </row>
    <row r="7664" spans="2:8" x14ac:dyDescent="0.2">
      <c r="D7664" t="str">
        <f>"8810"</f>
        <v>8810</v>
      </c>
      <c r="H7664" t="s">
        <v>5584</v>
      </c>
    </row>
    <row r="7665" spans="3:8" x14ac:dyDescent="0.2">
      <c r="E7665" t="str">
        <f>"88101"</f>
        <v>88101</v>
      </c>
      <c r="H7665" t="s">
        <v>5585</v>
      </c>
    </row>
    <row r="7666" spans="3:8" x14ac:dyDescent="0.2">
      <c r="F7666" t="str">
        <f>"88101.0"</f>
        <v>88101.0</v>
      </c>
      <c r="H7666" t="s">
        <v>5585</v>
      </c>
    </row>
    <row r="7667" spans="3:8" x14ac:dyDescent="0.2">
      <c r="G7667" t="str">
        <f>"88101.01"</f>
        <v>88101.01</v>
      </c>
      <c r="H7667" t="s">
        <v>5586</v>
      </c>
    </row>
    <row r="7668" spans="3:8" x14ac:dyDescent="0.2">
      <c r="G7668" t="str">
        <f>"88101.02"</f>
        <v>88101.02</v>
      </c>
      <c r="H7668" t="s">
        <v>5587</v>
      </c>
    </row>
    <row r="7669" spans="3:8" x14ac:dyDescent="0.2">
      <c r="E7669" t="str">
        <f>"88102"</f>
        <v>88102</v>
      </c>
      <c r="H7669" t="s">
        <v>5588</v>
      </c>
    </row>
    <row r="7670" spans="3:8" x14ac:dyDescent="0.2">
      <c r="F7670" t="str">
        <f>"88102.0"</f>
        <v>88102.0</v>
      </c>
      <c r="H7670" t="s">
        <v>5588</v>
      </c>
    </row>
    <row r="7671" spans="3:8" x14ac:dyDescent="0.2">
      <c r="G7671" t="str">
        <f>"88102.01"</f>
        <v>88102.01</v>
      </c>
      <c r="H7671" t="s">
        <v>5589</v>
      </c>
    </row>
    <row r="7672" spans="3:8" x14ac:dyDescent="0.2">
      <c r="G7672" t="str">
        <f>"88102.02"</f>
        <v>88102.02</v>
      </c>
      <c r="H7672" t="s">
        <v>5590</v>
      </c>
    </row>
    <row r="7673" spans="3:8" x14ac:dyDescent="0.2">
      <c r="G7673" t="str">
        <f>"88102.03"</f>
        <v>88102.03</v>
      </c>
      <c r="H7673" t="s">
        <v>5591</v>
      </c>
    </row>
    <row r="7674" spans="3:8" x14ac:dyDescent="0.2">
      <c r="C7674" t="str">
        <f>"889"</f>
        <v>889</v>
      </c>
      <c r="H7674" t="s">
        <v>5592</v>
      </c>
    </row>
    <row r="7675" spans="3:8" x14ac:dyDescent="0.2">
      <c r="D7675" t="str">
        <f>"8890"</f>
        <v>8890</v>
      </c>
      <c r="H7675" t="s">
        <v>5592</v>
      </c>
    </row>
    <row r="7676" spans="3:8" x14ac:dyDescent="0.2">
      <c r="E7676" t="str">
        <f>"88901"</f>
        <v>88901</v>
      </c>
      <c r="H7676" t="s">
        <v>5593</v>
      </c>
    </row>
    <row r="7677" spans="3:8" x14ac:dyDescent="0.2">
      <c r="F7677" t="str">
        <f>"88901.0"</f>
        <v>88901.0</v>
      </c>
      <c r="H7677" t="s">
        <v>5593</v>
      </c>
    </row>
    <row r="7678" spans="3:8" x14ac:dyDescent="0.2">
      <c r="G7678" t="str">
        <f>"88901.01"</f>
        <v>88901.01</v>
      </c>
      <c r="H7678" t="s">
        <v>5594</v>
      </c>
    </row>
    <row r="7679" spans="3:8" x14ac:dyDescent="0.2">
      <c r="G7679" t="str">
        <f>"88901.02"</f>
        <v>88901.02</v>
      </c>
      <c r="H7679" t="s">
        <v>5595</v>
      </c>
    </row>
    <row r="7680" spans="3:8" x14ac:dyDescent="0.2">
      <c r="G7680" t="str">
        <f>"88901.03"</f>
        <v>88901.03</v>
      </c>
      <c r="H7680" t="s">
        <v>5596</v>
      </c>
    </row>
    <row r="7681" spans="1:8" x14ac:dyDescent="0.2">
      <c r="E7681" t="str">
        <f>"88909"</f>
        <v>88909</v>
      </c>
      <c r="H7681" t="s">
        <v>5597</v>
      </c>
    </row>
    <row r="7682" spans="1:8" x14ac:dyDescent="0.2">
      <c r="F7682" t="str">
        <f>"88909.0"</f>
        <v>88909.0</v>
      </c>
      <c r="H7682" t="s">
        <v>5597</v>
      </c>
    </row>
    <row r="7683" spans="1:8" x14ac:dyDescent="0.2">
      <c r="G7683" t="str">
        <f>"88909.01"</f>
        <v>88909.01</v>
      </c>
      <c r="H7683" t="s">
        <v>5598</v>
      </c>
    </row>
    <row r="7684" spans="1:8" x14ac:dyDescent="0.2">
      <c r="G7684" t="str">
        <f>"88909.02"</f>
        <v>88909.02</v>
      </c>
      <c r="H7684" t="s">
        <v>5599</v>
      </c>
    </row>
    <row r="7685" spans="1:8" x14ac:dyDescent="0.2">
      <c r="G7685" t="str">
        <f>"88909.03"</f>
        <v>88909.03</v>
      </c>
      <c r="H7685" t="s">
        <v>5600</v>
      </c>
    </row>
    <row r="7686" spans="1:8" x14ac:dyDescent="0.2">
      <c r="G7686" t="str">
        <f>"88909.09"</f>
        <v>88909.09</v>
      </c>
      <c r="H7686" t="s">
        <v>5597</v>
      </c>
    </row>
    <row r="7687" spans="1:8" x14ac:dyDescent="0.2">
      <c r="A7687" t="s">
        <v>5601</v>
      </c>
      <c r="H7687" t="s">
        <v>5602</v>
      </c>
    </row>
    <row r="7688" spans="1:8" x14ac:dyDescent="0.2">
      <c r="B7688" t="str">
        <f>"90"</f>
        <v>90</v>
      </c>
      <c r="H7688" t="s">
        <v>5603</v>
      </c>
    </row>
    <row r="7689" spans="1:8" x14ac:dyDescent="0.2">
      <c r="C7689" t="str">
        <f>"900"</f>
        <v>900</v>
      </c>
      <c r="H7689" t="s">
        <v>5603</v>
      </c>
    </row>
    <row r="7690" spans="1:8" x14ac:dyDescent="0.2">
      <c r="D7690" t="str">
        <f>"9000"</f>
        <v>9000</v>
      </c>
      <c r="H7690" t="s">
        <v>5603</v>
      </c>
    </row>
    <row r="7691" spans="1:8" x14ac:dyDescent="0.2">
      <c r="E7691" t="str">
        <f>"90001"</f>
        <v>90001</v>
      </c>
      <c r="H7691" t="s">
        <v>5604</v>
      </c>
    </row>
    <row r="7692" spans="1:8" x14ac:dyDescent="0.2">
      <c r="F7692" t="str">
        <f>"90001.1"</f>
        <v>90001.1</v>
      </c>
      <c r="H7692" t="s">
        <v>5604</v>
      </c>
    </row>
    <row r="7693" spans="1:8" x14ac:dyDescent="0.2">
      <c r="G7693" t="str">
        <f>"90001.11"</f>
        <v>90001.11</v>
      </c>
      <c r="H7693" t="s">
        <v>5605</v>
      </c>
    </row>
    <row r="7694" spans="1:8" x14ac:dyDescent="0.2">
      <c r="G7694" t="str">
        <f>"90001.12"</f>
        <v>90001.12</v>
      </c>
      <c r="H7694" t="s">
        <v>5606</v>
      </c>
    </row>
    <row r="7695" spans="1:8" x14ac:dyDescent="0.2">
      <c r="G7695" t="str">
        <f>"90001.13"</f>
        <v>90001.13</v>
      </c>
      <c r="H7695" t="s">
        <v>5607</v>
      </c>
    </row>
    <row r="7696" spans="1:8" x14ac:dyDescent="0.2">
      <c r="F7696" t="str">
        <f>"90001.2"</f>
        <v>90001.2</v>
      </c>
      <c r="H7696" t="s">
        <v>5608</v>
      </c>
    </row>
    <row r="7697" spans="2:8" x14ac:dyDescent="0.2">
      <c r="G7697" t="str">
        <f>"90001.20"</f>
        <v>90001.20</v>
      </c>
      <c r="H7697" t="s">
        <v>5608</v>
      </c>
    </row>
    <row r="7698" spans="2:8" x14ac:dyDescent="0.2">
      <c r="E7698" t="str">
        <f>"90002"</f>
        <v>90002</v>
      </c>
      <c r="H7698" t="s">
        <v>5609</v>
      </c>
    </row>
    <row r="7699" spans="2:8" x14ac:dyDescent="0.2">
      <c r="F7699" t="str">
        <f>"90002.1"</f>
        <v>90002.1</v>
      </c>
      <c r="H7699" t="s">
        <v>5610</v>
      </c>
    </row>
    <row r="7700" spans="2:8" x14ac:dyDescent="0.2">
      <c r="G7700" t="str">
        <f>"90002.10"</f>
        <v>90002.10</v>
      </c>
      <c r="H7700" t="s">
        <v>5610</v>
      </c>
    </row>
    <row r="7701" spans="2:8" x14ac:dyDescent="0.2">
      <c r="F7701" t="str">
        <f>"90002.2"</f>
        <v>90002.2</v>
      </c>
      <c r="H7701" t="s">
        <v>5611</v>
      </c>
    </row>
    <row r="7702" spans="2:8" x14ac:dyDescent="0.2">
      <c r="G7702" t="str">
        <f>"90002.21"</f>
        <v>90002.21</v>
      </c>
      <c r="H7702" t="s">
        <v>5612</v>
      </c>
    </row>
    <row r="7703" spans="2:8" x14ac:dyDescent="0.2">
      <c r="G7703" t="str">
        <f>"90002.22"</f>
        <v>90002.22</v>
      </c>
      <c r="H7703" t="s">
        <v>5613</v>
      </c>
    </row>
    <row r="7704" spans="2:8" x14ac:dyDescent="0.2">
      <c r="G7704" t="str">
        <f>"90002.29"</f>
        <v>90002.29</v>
      </c>
      <c r="H7704" t="s">
        <v>5614</v>
      </c>
    </row>
    <row r="7705" spans="2:8" x14ac:dyDescent="0.2">
      <c r="B7705" t="str">
        <f>"91"</f>
        <v>91</v>
      </c>
      <c r="H7705" t="s">
        <v>5615</v>
      </c>
    </row>
    <row r="7706" spans="2:8" x14ac:dyDescent="0.2">
      <c r="C7706" t="str">
        <f>"910"</f>
        <v>910</v>
      </c>
      <c r="H7706" t="s">
        <v>5615</v>
      </c>
    </row>
    <row r="7707" spans="2:8" x14ac:dyDescent="0.2">
      <c r="D7707" t="str">
        <f>"9101"</f>
        <v>9101</v>
      </c>
      <c r="H7707" t="s">
        <v>5616</v>
      </c>
    </row>
    <row r="7708" spans="2:8" x14ac:dyDescent="0.2">
      <c r="E7708" t="str">
        <f>"91011"</f>
        <v>91011</v>
      </c>
      <c r="H7708" t="s">
        <v>5617</v>
      </c>
    </row>
    <row r="7709" spans="2:8" x14ac:dyDescent="0.2">
      <c r="F7709" t="str">
        <f>"91011.0"</f>
        <v>91011.0</v>
      </c>
      <c r="H7709" t="s">
        <v>5617</v>
      </c>
    </row>
    <row r="7710" spans="2:8" x14ac:dyDescent="0.2">
      <c r="G7710" t="str">
        <f>"91011.00"</f>
        <v>91011.00</v>
      </c>
      <c r="H7710" t="s">
        <v>5617</v>
      </c>
    </row>
    <row r="7711" spans="2:8" x14ac:dyDescent="0.2">
      <c r="E7711" t="str">
        <f>"91012"</f>
        <v>91012</v>
      </c>
      <c r="H7711" t="s">
        <v>5618</v>
      </c>
    </row>
    <row r="7712" spans="2:8" x14ac:dyDescent="0.2">
      <c r="F7712" t="str">
        <f>"91012.0"</f>
        <v>91012.0</v>
      </c>
      <c r="H7712" t="s">
        <v>5618</v>
      </c>
    </row>
    <row r="7713" spans="4:8" x14ac:dyDescent="0.2">
      <c r="G7713" t="str">
        <f>"91012.00"</f>
        <v>91012.00</v>
      </c>
      <c r="H7713" t="s">
        <v>5618</v>
      </c>
    </row>
    <row r="7714" spans="4:8" x14ac:dyDescent="0.2">
      <c r="D7714" t="str">
        <f>"9102"</f>
        <v>9102</v>
      </c>
      <c r="H7714" t="s">
        <v>5619</v>
      </c>
    </row>
    <row r="7715" spans="4:8" x14ac:dyDescent="0.2">
      <c r="E7715" t="str">
        <f>"91021"</f>
        <v>91021</v>
      </c>
      <c r="H7715" t="s">
        <v>5620</v>
      </c>
    </row>
    <row r="7716" spans="4:8" x14ac:dyDescent="0.2">
      <c r="F7716" t="str">
        <f>"91021.0"</f>
        <v>91021.0</v>
      </c>
      <c r="H7716" t="s">
        <v>5620</v>
      </c>
    </row>
    <row r="7717" spans="4:8" x14ac:dyDescent="0.2">
      <c r="G7717" t="str">
        <f>"91021.01"</f>
        <v>91021.01</v>
      </c>
      <c r="H7717" t="s">
        <v>5621</v>
      </c>
    </row>
    <row r="7718" spans="4:8" x14ac:dyDescent="0.2">
      <c r="G7718" t="str">
        <f>"91021.02"</f>
        <v>91021.02</v>
      </c>
      <c r="H7718" t="s">
        <v>5622</v>
      </c>
    </row>
    <row r="7719" spans="4:8" x14ac:dyDescent="0.2">
      <c r="G7719" t="str">
        <f>"91021.03"</f>
        <v>91021.03</v>
      </c>
      <c r="H7719" t="s">
        <v>5623</v>
      </c>
    </row>
    <row r="7720" spans="4:8" x14ac:dyDescent="0.2">
      <c r="E7720" t="str">
        <f>"91022"</f>
        <v>91022</v>
      </c>
      <c r="H7720" t="s">
        <v>5624</v>
      </c>
    </row>
    <row r="7721" spans="4:8" x14ac:dyDescent="0.2">
      <c r="F7721" t="str">
        <f>"91022.0"</f>
        <v>91022.0</v>
      </c>
      <c r="H7721" t="s">
        <v>5624</v>
      </c>
    </row>
    <row r="7722" spans="4:8" x14ac:dyDescent="0.2">
      <c r="G7722" t="str">
        <f>"91022.00"</f>
        <v>91022.00</v>
      </c>
      <c r="H7722" t="s">
        <v>5624</v>
      </c>
    </row>
    <row r="7723" spans="4:8" x14ac:dyDescent="0.2">
      <c r="D7723" t="str">
        <f>"9103"</f>
        <v>9103</v>
      </c>
      <c r="H7723" t="s">
        <v>5625</v>
      </c>
    </row>
    <row r="7724" spans="4:8" x14ac:dyDescent="0.2">
      <c r="E7724" t="str">
        <f>"91031"</f>
        <v>91031</v>
      </c>
      <c r="H7724" t="s">
        <v>5626</v>
      </c>
    </row>
    <row r="7725" spans="4:8" x14ac:dyDescent="0.2">
      <c r="F7725" t="str">
        <f>"91031.0"</f>
        <v>91031.0</v>
      </c>
      <c r="H7725" t="s">
        <v>5626</v>
      </c>
    </row>
    <row r="7726" spans="4:8" x14ac:dyDescent="0.2">
      <c r="G7726" t="str">
        <f>"91031.00"</f>
        <v>91031.00</v>
      </c>
      <c r="H7726" t="s">
        <v>5626</v>
      </c>
    </row>
    <row r="7727" spans="4:8" x14ac:dyDescent="0.2">
      <c r="E7727" t="str">
        <f>"91032"</f>
        <v>91032</v>
      </c>
      <c r="H7727" t="s">
        <v>5627</v>
      </c>
    </row>
    <row r="7728" spans="4:8" x14ac:dyDescent="0.2">
      <c r="F7728" t="str">
        <f>"91032.0"</f>
        <v>91032.0</v>
      </c>
      <c r="H7728" t="s">
        <v>5628</v>
      </c>
    </row>
    <row r="7729" spans="2:8" x14ac:dyDescent="0.2">
      <c r="G7729" t="str">
        <f>"91032.00"</f>
        <v>91032.00</v>
      </c>
      <c r="H7729" t="s">
        <v>5628</v>
      </c>
    </row>
    <row r="7730" spans="2:8" x14ac:dyDescent="0.2">
      <c r="B7730" t="str">
        <f>"92"</f>
        <v>92</v>
      </c>
      <c r="H7730" t="s">
        <v>5629</v>
      </c>
    </row>
    <row r="7731" spans="2:8" x14ac:dyDescent="0.2">
      <c r="C7731" t="str">
        <f>"920"</f>
        <v>920</v>
      </c>
      <c r="H7731" t="s">
        <v>5629</v>
      </c>
    </row>
    <row r="7732" spans="2:8" x14ac:dyDescent="0.2">
      <c r="D7732" t="str">
        <f>"9200"</f>
        <v>9200</v>
      </c>
      <c r="H7732" t="s">
        <v>5629</v>
      </c>
    </row>
    <row r="7733" spans="2:8" x14ac:dyDescent="0.2">
      <c r="E7733" t="str">
        <f>"92001"</f>
        <v>92001</v>
      </c>
      <c r="H7733" t="s">
        <v>5630</v>
      </c>
    </row>
    <row r="7734" spans="2:8" x14ac:dyDescent="0.2">
      <c r="F7734" t="str">
        <f>"92001.0"</f>
        <v>92001.0</v>
      </c>
      <c r="H7734" t="s">
        <v>5630</v>
      </c>
    </row>
    <row r="7735" spans="2:8" x14ac:dyDescent="0.2">
      <c r="G7735" t="str">
        <f>"92001.01"</f>
        <v>92001.01</v>
      </c>
      <c r="H7735" t="s">
        <v>5631</v>
      </c>
    </row>
    <row r="7736" spans="2:8" x14ac:dyDescent="0.2">
      <c r="G7736" t="str">
        <f>"92001.02"</f>
        <v>92001.02</v>
      </c>
      <c r="H7736" t="s">
        <v>5632</v>
      </c>
    </row>
    <row r="7737" spans="2:8" x14ac:dyDescent="0.2">
      <c r="G7737" t="str">
        <f>"92001.03"</f>
        <v>92001.03</v>
      </c>
      <c r="H7737" t="s">
        <v>5633</v>
      </c>
    </row>
    <row r="7738" spans="2:8" x14ac:dyDescent="0.2">
      <c r="E7738" t="str">
        <f>"92009"</f>
        <v>92009</v>
      </c>
      <c r="H7738" t="s">
        <v>5634</v>
      </c>
    </row>
    <row r="7739" spans="2:8" x14ac:dyDescent="0.2">
      <c r="F7739" t="str">
        <f>"92009.1"</f>
        <v>92009.1</v>
      </c>
      <c r="H7739" t="s">
        <v>5635</v>
      </c>
    </row>
    <row r="7740" spans="2:8" x14ac:dyDescent="0.2">
      <c r="G7740" t="str">
        <f>"92009.11"</f>
        <v>92009.11</v>
      </c>
      <c r="H7740" t="s">
        <v>5636</v>
      </c>
    </row>
    <row r="7741" spans="2:8" x14ac:dyDescent="0.2">
      <c r="G7741" t="str">
        <f>"92009.12"</f>
        <v>92009.12</v>
      </c>
      <c r="H7741" t="s">
        <v>5637</v>
      </c>
    </row>
    <row r="7742" spans="2:8" x14ac:dyDescent="0.2">
      <c r="G7742" t="str">
        <f>"92009.13"</f>
        <v>92009.13</v>
      </c>
      <c r="H7742" t="s">
        <v>5638</v>
      </c>
    </row>
    <row r="7743" spans="2:8" x14ac:dyDescent="0.2">
      <c r="G7743" t="str">
        <f>"92009.19"</f>
        <v>92009.19</v>
      </c>
      <c r="H7743" t="s">
        <v>5639</v>
      </c>
    </row>
    <row r="7744" spans="2:8" x14ac:dyDescent="0.2">
      <c r="F7744" t="str">
        <f>"92009.2"</f>
        <v>92009.2</v>
      </c>
      <c r="H7744" t="s">
        <v>5640</v>
      </c>
    </row>
    <row r="7745" spans="2:8" x14ac:dyDescent="0.2">
      <c r="G7745" t="str">
        <f>"92009.21"</f>
        <v>92009.21</v>
      </c>
      <c r="H7745" t="s">
        <v>5641</v>
      </c>
    </row>
    <row r="7746" spans="2:8" x14ac:dyDescent="0.2">
      <c r="G7746" t="str">
        <f>"92009.29"</f>
        <v>92009.29</v>
      </c>
      <c r="H7746" t="s">
        <v>5642</v>
      </c>
    </row>
    <row r="7747" spans="2:8" x14ac:dyDescent="0.2">
      <c r="B7747" t="str">
        <f>"93"</f>
        <v>93</v>
      </c>
      <c r="H7747" t="s">
        <v>5643</v>
      </c>
    </row>
    <row r="7748" spans="2:8" x14ac:dyDescent="0.2">
      <c r="C7748" t="str">
        <f>"931"</f>
        <v>931</v>
      </c>
      <c r="H7748" t="s">
        <v>5644</v>
      </c>
    </row>
    <row r="7749" spans="2:8" x14ac:dyDescent="0.2">
      <c r="D7749" t="str">
        <f>"9311"</f>
        <v>9311</v>
      </c>
      <c r="H7749" t="s">
        <v>5645</v>
      </c>
    </row>
    <row r="7750" spans="2:8" x14ac:dyDescent="0.2">
      <c r="E7750" t="str">
        <f>"93111"</f>
        <v>93111</v>
      </c>
      <c r="H7750" t="s">
        <v>5645</v>
      </c>
    </row>
    <row r="7751" spans="2:8" x14ac:dyDescent="0.2">
      <c r="F7751" t="str">
        <f>"93111.0"</f>
        <v>93111.0</v>
      </c>
      <c r="H7751" t="s">
        <v>5645</v>
      </c>
    </row>
    <row r="7752" spans="2:8" x14ac:dyDescent="0.2">
      <c r="G7752" t="str">
        <f>"93111.00"</f>
        <v>93111.00</v>
      </c>
      <c r="H7752" t="s">
        <v>5645</v>
      </c>
    </row>
    <row r="7753" spans="2:8" x14ac:dyDescent="0.2">
      <c r="E7753" t="str">
        <f>"93112"</f>
        <v>93112</v>
      </c>
      <c r="H7753" t="s">
        <v>5646</v>
      </c>
    </row>
    <row r="7754" spans="2:8" x14ac:dyDescent="0.2">
      <c r="F7754" t="str">
        <f>"93112.0"</f>
        <v>93112.0</v>
      </c>
      <c r="H7754" t="s">
        <v>5646</v>
      </c>
    </row>
    <row r="7755" spans="2:8" x14ac:dyDescent="0.2">
      <c r="G7755" t="str">
        <f>"93112.00"</f>
        <v>93112.00</v>
      </c>
      <c r="H7755" t="s">
        <v>5646</v>
      </c>
    </row>
    <row r="7756" spans="2:8" x14ac:dyDescent="0.2">
      <c r="D7756" t="str">
        <f>"9312"</f>
        <v>9312</v>
      </c>
      <c r="H7756" t="s">
        <v>5647</v>
      </c>
    </row>
    <row r="7757" spans="2:8" x14ac:dyDescent="0.2">
      <c r="E7757" t="str">
        <f>"93120"</f>
        <v>93120</v>
      </c>
      <c r="H7757" t="s">
        <v>5648</v>
      </c>
    </row>
    <row r="7758" spans="2:8" x14ac:dyDescent="0.2">
      <c r="F7758" t="str">
        <f>"93120.0"</f>
        <v>93120.0</v>
      </c>
      <c r="H7758" t="s">
        <v>5647</v>
      </c>
    </row>
    <row r="7759" spans="2:8" x14ac:dyDescent="0.2">
      <c r="G7759" t="str">
        <f>"93120.00"</f>
        <v>93120.00</v>
      </c>
      <c r="H7759" t="s">
        <v>5649</v>
      </c>
    </row>
    <row r="7760" spans="2:8" x14ac:dyDescent="0.2">
      <c r="D7760" t="str">
        <f>"9319"</f>
        <v>9319</v>
      </c>
      <c r="H7760" t="s">
        <v>5650</v>
      </c>
    </row>
    <row r="7761" spans="3:8" x14ac:dyDescent="0.2">
      <c r="E7761" t="str">
        <f>"93191"</f>
        <v>93191</v>
      </c>
      <c r="H7761" t="s">
        <v>5651</v>
      </c>
    </row>
    <row r="7762" spans="3:8" x14ac:dyDescent="0.2">
      <c r="F7762" t="str">
        <f>"93191.0"</f>
        <v>93191.0</v>
      </c>
      <c r="H7762" t="s">
        <v>5651</v>
      </c>
    </row>
    <row r="7763" spans="3:8" x14ac:dyDescent="0.2">
      <c r="G7763" t="str">
        <f>"93191.00"</f>
        <v>93191.00</v>
      </c>
      <c r="H7763" t="s">
        <v>5651</v>
      </c>
    </row>
    <row r="7764" spans="3:8" x14ac:dyDescent="0.2">
      <c r="E7764" t="str">
        <f>"93192"</f>
        <v>93192</v>
      </c>
      <c r="H7764" t="s">
        <v>5652</v>
      </c>
    </row>
    <row r="7765" spans="3:8" x14ac:dyDescent="0.2">
      <c r="F7765" t="str">
        <f>"93192.0"</f>
        <v>93192.0</v>
      </c>
      <c r="H7765" t="s">
        <v>5652</v>
      </c>
    </row>
    <row r="7766" spans="3:8" x14ac:dyDescent="0.2">
      <c r="G7766" t="str">
        <f>"93192.00"</f>
        <v>93192.00</v>
      </c>
      <c r="H7766" t="s">
        <v>5652</v>
      </c>
    </row>
    <row r="7767" spans="3:8" x14ac:dyDescent="0.2">
      <c r="E7767" t="str">
        <f>"93199"</f>
        <v>93199</v>
      </c>
      <c r="H7767" t="s">
        <v>5653</v>
      </c>
    </row>
    <row r="7768" spans="3:8" x14ac:dyDescent="0.2">
      <c r="F7768" t="str">
        <f>"93199.0"</f>
        <v>93199.0</v>
      </c>
      <c r="H7768" t="s">
        <v>5653</v>
      </c>
    </row>
    <row r="7769" spans="3:8" x14ac:dyDescent="0.2">
      <c r="G7769" t="str">
        <f>"93199.01"</f>
        <v>93199.01</v>
      </c>
      <c r="H7769" t="s">
        <v>5654</v>
      </c>
    </row>
    <row r="7770" spans="3:8" x14ac:dyDescent="0.2">
      <c r="G7770" t="str">
        <f>"93199.02"</f>
        <v>93199.02</v>
      </c>
      <c r="H7770" t="s">
        <v>5655</v>
      </c>
    </row>
    <row r="7771" spans="3:8" x14ac:dyDescent="0.2">
      <c r="G7771" t="str">
        <f>"93199.09"</f>
        <v>93199.09</v>
      </c>
      <c r="H7771" t="s">
        <v>5653</v>
      </c>
    </row>
    <row r="7772" spans="3:8" x14ac:dyDescent="0.2">
      <c r="C7772" t="str">
        <f>"932"</f>
        <v>932</v>
      </c>
      <c r="H7772" t="s">
        <v>5656</v>
      </c>
    </row>
    <row r="7773" spans="3:8" x14ac:dyDescent="0.2">
      <c r="D7773" t="str">
        <f>"9321"</f>
        <v>9321</v>
      </c>
      <c r="H7773" t="s">
        <v>5657</v>
      </c>
    </row>
    <row r="7774" spans="3:8" x14ac:dyDescent="0.2">
      <c r="E7774" t="str">
        <f>"93210"</f>
        <v>93210</v>
      </c>
      <c r="H7774" t="s">
        <v>5657</v>
      </c>
    </row>
    <row r="7775" spans="3:8" x14ac:dyDescent="0.2">
      <c r="F7775" t="str">
        <f>"93210.0"</f>
        <v>93210.0</v>
      </c>
      <c r="H7775" t="s">
        <v>5657</v>
      </c>
    </row>
    <row r="7776" spans="3:8" x14ac:dyDescent="0.2">
      <c r="G7776" t="str">
        <f>"93210.00"</f>
        <v>93210.00</v>
      </c>
      <c r="H7776" t="s">
        <v>5657</v>
      </c>
    </row>
    <row r="7777" spans="1:8" x14ac:dyDescent="0.2">
      <c r="D7777" t="str">
        <f>"9329"</f>
        <v>9329</v>
      </c>
      <c r="H7777" t="s">
        <v>5658</v>
      </c>
    </row>
    <row r="7778" spans="1:8" x14ac:dyDescent="0.2">
      <c r="E7778" t="str">
        <f>"93291"</f>
        <v>93291</v>
      </c>
      <c r="H7778" t="s">
        <v>5659</v>
      </c>
    </row>
    <row r="7779" spans="1:8" x14ac:dyDescent="0.2">
      <c r="F7779" t="str">
        <f>"93291.0"</f>
        <v>93291.0</v>
      </c>
      <c r="H7779" t="s">
        <v>5659</v>
      </c>
    </row>
    <row r="7780" spans="1:8" x14ac:dyDescent="0.2">
      <c r="G7780" t="str">
        <f>"93291.00"</f>
        <v>93291.00</v>
      </c>
      <c r="H7780" t="s">
        <v>5659</v>
      </c>
    </row>
    <row r="7781" spans="1:8" x14ac:dyDescent="0.2">
      <c r="E7781" t="str">
        <f>"93292"</f>
        <v>93292</v>
      </c>
      <c r="H7781" t="s">
        <v>5660</v>
      </c>
    </row>
    <row r="7782" spans="1:8" x14ac:dyDescent="0.2">
      <c r="F7782" t="str">
        <f>"93292.0"</f>
        <v>93292.0</v>
      </c>
      <c r="H7782" t="s">
        <v>5660</v>
      </c>
    </row>
    <row r="7783" spans="1:8" x14ac:dyDescent="0.2">
      <c r="G7783" t="str">
        <f>"93292.01"</f>
        <v>93292.01</v>
      </c>
      <c r="H7783" t="s">
        <v>5661</v>
      </c>
    </row>
    <row r="7784" spans="1:8" x14ac:dyDescent="0.2">
      <c r="G7784" t="str">
        <f>"93292.09"</f>
        <v>93292.09</v>
      </c>
      <c r="H7784" t="s">
        <v>5662</v>
      </c>
    </row>
    <row r="7785" spans="1:8" x14ac:dyDescent="0.2">
      <c r="E7785" t="str">
        <f>"93293"</f>
        <v>93293</v>
      </c>
      <c r="H7785" t="s">
        <v>5663</v>
      </c>
    </row>
    <row r="7786" spans="1:8" x14ac:dyDescent="0.2">
      <c r="F7786" t="str">
        <f>"93293.0"</f>
        <v>93293.0</v>
      </c>
      <c r="H7786" t="s">
        <v>5664</v>
      </c>
    </row>
    <row r="7787" spans="1:8" x14ac:dyDescent="0.2">
      <c r="G7787" t="str">
        <f>"93293.00"</f>
        <v>93293.00</v>
      </c>
      <c r="H7787" t="s">
        <v>5664</v>
      </c>
    </row>
    <row r="7788" spans="1:8" x14ac:dyDescent="0.2">
      <c r="E7788" t="str">
        <f>"93299"</f>
        <v>93299</v>
      </c>
      <c r="H7788" t="s">
        <v>5665</v>
      </c>
    </row>
    <row r="7789" spans="1:8" x14ac:dyDescent="0.2">
      <c r="F7789" t="str">
        <f>"93299.0"</f>
        <v>93299.0</v>
      </c>
      <c r="H7789" t="s">
        <v>5665</v>
      </c>
    </row>
    <row r="7790" spans="1:8" x14ac:dyDescent="0.2">
      <c r="G7790" t="str">
        <f>"93299.00"</f>
        <v>93299.00</v>
      </c>
      <c r="H7790" t="s">
        <v>5665</v>
      </c>
    </row>
    <row r="7791" spans="1:8" x14ac:dyDescent="0.2">
      <c r="A7791" t="s">
        <v>5666</v>
      </c>
      <c r="H7791" t="s">
        <v>5667</v>
      </c>
    </row>
    <row r="7792" spans="1:8" x14ac:dyDescent="0.2">
      <c r="B7792" t="str">
        <f>"94"</f>
        <v>94</v>
      </c>
      <c r="H7792" t="s">
        <v>5668</v>
      </c>
    </row>
    <row r="7793" spans="3:8" x14ac:dyDescent="0.2">
      <c r="C7793" t="str">
        <f>"941"</f>
        <v>941</v>
      </c>
      <c r="H7793" t="s">
        <v>5669</v>
      </c>
    </row>
    <row r="7794" spans="3:8" x14ac:dyDescent="0.2">
      <c r="D7794" t="str">
        <f>"9411"</f>
        <v>9411</v>
      </c>
      <c r="H7794" t="s">
        <v>5670</v>
      </c>
    </row>
    <row r="7795" spans="3:8" x14ac:dyDescent="0.2">
      <c r="E7795" t="str">
        <f>"94110"</f>
        <v>94110</v>
      </c>
      <c r="H7795" t="s">
        <v>5670</v>
      </c>
    </row>
    <row r="7796" spans="3:8" x14ac:dyDescent="0.2">
      <c r="F7796" t="str">
        <f>"94110.0"</f>
        <v>94110.0</v>
      </c>
      <c r="H7796" t="s">
        <v>5670</v>
      </c>
    </row>
    <row r="7797" spans="3:8" x14ac:dyDescent="0.2">
      <c r="G7797" t="str">
        <f>"94110.00"</f>
        <v>94110.00</v>
      </c>
      <c r="H7797" t="s">
        <v>5670</v>
      </c>
    </row>
    <row r="7798" spans="3:8" x14ac:dyDescent="0.2">
      <c r="D7798" t="str">
        <f>"9412"</f>
        <v>9412</v>
      </c>
      <c r="H7798" t="s">
        <v>5671</v>
      </c>
    </row>
    <row r="7799" spans="3:8" x14ac:dyDescent="0.2">
      <c r="E7799" t="str">
        <f>"94120"</f>
        <v>94120</v>
      </c>
      <c r="H7799" t="s">
        <v>5671</v>
      </c>
    </row>
    <row r="7800" spans="3:8" x14ac:dyDescent="0.2">
      <c r="F7800" t="str">
        <f>"94120.0"</f>
        <v>94120.0</v>
      </c>
      <c r="H7800" t="s">
        <v>5671</v>
      </c>
    </row>
    <row r="7801" spans="3:8" x14ac:dyDescent="0.2">
      <c r="G7801" t="str">
        <f>"94120.00"</f>
        <v>94120.00</v>
      </c>
      <c r="H7801" t="s">
        <v>5671</v>
      </c>
    </row>
    <row r="7802" spans="3:8" x14ac:dyDescent="0.2">
      <c r="C7802" t="str">
        <f>"942"</f>
        <v>942</v>
      </c>
      <c r="H7802" t="s">
        <v>5672</v>
      </c>
    </row>
    <row r="7803" spans="3:8" x14ac:dyDescent="0.2">
      <c r="D7803" t="str">
        <f>"9420"</f>
        <v>9420</v>
      </c>
      <c r="H7803" t="s">
        <v>5672</v>
      </c>
    </row>
    <row r="7804" spans="3:8" x14ac:dyDescent="0.2">
      <c r="E7804" t="str">
        <f>"94200"</f>
        <v>94200</v>
      </c>
      <c r="H7804" t="s">
        <v>5672</v>
      </c>
    </row>
    <row r="7805" spans="3:8" x14ac:dyDescent="0.2">
      <c r="F7805" t="str">
        <f>"94200.0"</f>
        <v>94200.0</v>
      </c>
      <c r="H7805" t="s">
        <v>5672</v>
      </c>
    </row>
    <row r="7806" spans="3:8" x14ac:dyDescent="0.2">
      <c r="G7806" t="str">
        <f>"94200.00"</f>
        <v>94200.00</v>
      </c>
      <c r="H7806" t="s">
        <v>5672</v>
      </c>
    </row>
    <row r="7807" spans="3:8" x14ac:dyDescent="0.2">
      <c r="C7807" t="str">
        <f>"949"</f>
        <v>949</v>
      </c>
      <c r="H7807" t="s">
        <v>5673</v>
      </c>
    </row>
    <row r="7808" spans="3:8" x14ac:dyDescent="0.2">
      <c r="D7808" t="str">
        <f>"9491"</f>
        <v>9491</v>
      </c>
      <c r="H7808" t="s">
        <v>5674</v>
      </c>
    </row>
    <row r="7809" spans="4:8" x14ac:dyDescent="0.2">
      <c r="E7809" t="str">
        <f>"94910"</f>
        <v>94910</v>
      </c>
      <c r="H7809" t="s">
        <v>5674</v>
      </c>
    </row>
    <row r="7810" spans="4:8" x14ac:dyDescent="0.2">
      <c r="F7810" t="str">
        <f>"94910.0"</f>
        <v>94910.0</v>
      </c>
      <c r="H7810" t="s">
        <v>5674</v>
      </c>
    </row>
    <row r="7811" spans="4:8" x14ac:dyDescent="0.2">
      <c r="G7811" t="str">
        <f>"94910.00"</f>
        <v>94910.00</v>
      </c>
      <c r="H7811" t="s">
        <v>5674</v>
      </c>
    </row>
    <row r="7812" spans="4:8" x14ac:dyDescent="0.2">
      <c r="D7812" t="str">
        <f>"9492"</f>
        <v>9492</v>
      </c>
      <c r="H7812" t="s">
        <v>5675</v>
      </c>
    </row>
    <row r="7813" spans="4:8" x14ac:dyDescent="0.2">
      <c r="E7813" t="str">
        <f>"94920"</f>
        <v>94920</v>
      </c>
      <c r="H7813" t="s">
        <v>5675</v>
      </c>
    </row>
    <row r="7814" spans="4:8" x14ac:dyDescent="0.2">
      <c r="F7814" t="str">
        <f>"94920.0"</f>
        <v>94920.0</v>
      </c>
      <c r="H7814" t="s">
        <v>5675</v>
      </c>
    </row>
    <row r="7815" spans="4:8" x14ac:dyDescent="0.2">
      <c r="G7815" t="str">
        <f>"94920.00"</f>
        <v>94920.00</v>
      </c>
      <c r="H7815" t="s">
        <v>5675</v>
      </c>
    </row>
    <row r="7816" spans="4:8" x14ac:dyDescent="0.2">
      <c r="D7816" t="str">
        <f>"9499"</f>
        <v>9499</v>
      </c>
      <c r="H7816" t="s">
        <v>5676</v>
      </c>
    </row>
    <row r="7817" spans="4:8" x14ac:dyDescent="0.2">
      <c r="E7817" t="str">
        <f>"94991"</f>
        <v>94991</v>
      </c>
      <c r="H7817" t="s">
        <v>5677</v>
      </c>
    </row>
    <row r="7818" spans="4:8" x14ac:dyDescent="0.2">
      <c r="F7818" t="str">
        <f>"94991.0"</f>
        <v>94991.0</v>
      </c>
      <c r="H7818" t="s">
        <v>5677</v>
      </c>
    </row>
    <row r="7819" spans="4:8" x14ac:dyDescent="0.2">
      <c r="G7819" t="str">
        <f>"94991.01"</f>
        <v>94991.01</v>
      </c>
      <c r="H7819" t="s">
        <v>5678</v>
      </c>
    </row>
    <row r="7820" spans="4:8" x14ac:dyDescent="0.2">
      <c r="G7820" t="str">
        <f>"94991.02"</f>
        <v>94991.02</v>
      </c>
      <c r="H7820" t="s">
        <v>5679</v>
      </c>
    </row>
    <row r="7821" spans="4:8" x14ac:dyDescent="0.2">
      <c r="G7821" t="str">
        <f>"94991.09"</f>
        <v>94991.09</v>
      </c>
      <c r="H7821" t="s">
        <v>5680</v>
      </c>
    </row>
    <row r="7822" spans="4:8" x14ac:dyDescent="0.2">
      <c r="E7822" t="str">
        <f>"94992"</f>
        <v>94992</v>
      </c>
      <c r="H7822" t="s">
        <v>5681</v>
      </c>
    </row>
    <row r="7823" spans="4:8" x14ac:dyDescent="0.2">
      <c r="F7823" t="str">
        <f>"94992.0"</f>
        <v>94992.0</v>
      </c>
      <c r="H7823" t="s">
        <v>5681</v>
      </c>
    </row>
    <row r="7824" spans="4:8" x14ac:dyDescent="0.2">
      <c r="G7824" t="str">
        <f>"94992.00"</f>
        <v>94992.00</v>
      </c>
      <c r="H7824" t="s">
        <v>5681</v>
      </c>
    </row>
    <row r="7825" spans="2:8" x14ac:dyDescent="0.2">
      <c r="E7825" t="str">
        <f>"94993"</f>
        <v>94993</v>
      </c>
      <c r="H7825" t="s">
        <v>5682</v>
      </c>
    </row>
    <row r="7826" spans="2:8" x14ac:dyDescent="0.2">
      <c r="F7826" t="str">
        <f>"94993.0"</f>
        <v>94993.0</v>
      </c>
      <c r="H7826" t="s">
        <v>5682</v>
      </c>
    </row>
    <row r="7827" spans="2:8" x14ac:dyDescent="0.2">
      <c r="G7827" t="str">
        <f>"94993.00"</f>
        <v>94993.00</v>
      </c>
      <c r="H7827" t="s">
        <v>5682</v>
      </c>
    </row>
    <row r="7828" spans="2:8" x14ac:dyDescent="0.2">
      <c r="E7828" t="str">
        <f>"94994"</f>
        <v>94994</v>
      </c>
      <c r="H7828" t="s">
        <v>5683</v>
      </c>
    </row>
    <row r="7829" spans="2:8" x14ac:dyDescent="0.2">
      <c r="F7829" t="str">
        <f>"94994.0"</f>
        <v>94994.0</v>
      </c>
      <c r="H7829" t="s">
        <v>5683</v>
      </c>
    </row>
    <row r="7830" spans="2:8" x14ac:dyDescent="0.2">
      <c r="G7830" t="str">
        <f>"94994.00"</f>
        <v>94994.00</v>
      </c>
      <c r="H7830" t="s">
        <v>5683</v>
      </c>
    </row>
    <row r="7831" spans="2:8" x14ac:dyDescent="0.2">
      <c r="E7831" t="str">
        <f>"94999"</f>
        <v>94999</v>
      </c>
      <c r="H7831" t="s">
        <v>5676</v>
      </c>
    </row>
    <row r="7832" spans="2:8" x14ac:dyDescent="0.2">
      <c r="F7832" t="str">
        <f>"94999.1"</f>
        <v>94999.1</v>
      </c>
      <c r="H7832" t="s">
        <v>5676</v>
      </c>
    </row>
    <row r="7833" spans="2:8" x14ac:dyDescent="0.2">
      <c r="G7833" t="str">
        <f>"94999.11"</f>
        <v>94999.11</v>
      </c>
      <c r="H7833" t="s">
        <v>5684</v>
      </c>
    </row>
    <row r="7834" spans="2:8" x14ac:dyDescent="0.2">
      <c r="G7834" t="str">
        <f>"94999.12"</f>
        <v>94999.12</v>
      </c>
      <c r="H7834" t="s">
        <v>5685</v>
      </c>
    </row>
    <row r="7835" spans="2:8" x14ac:dyDescent="0.2">
      <c r="G7835" t="str">
        <f>"94999.19"</f>
        <v>94999.19</v>
      </c>
      <c r="H7835" t="s">
        <v>5676</v>
      </c>
    </row>
    <row r="7836" spans="2:8" x14ac:dyDescent="0.2">
      <c r="F7836" t="str">
        <f>"94999.2"</f>
        <v>94999.2</v>
      </c>
      <c r="H7836" t="s">
        <v>5686</v>
      </c>
    </row>
    <row r="7837" spans="2:8" x14ac:dyDescent="0.2">
      <c r="G7837" t="str">
        <f>"94999.20"</f>
        <v>94999.20</v>
      </c>
      <c r="H7837" t="s">
        <v>5686</v>
      </c>
    </row>
    <row r="7838" spans="2:8" x14ac:dyDescent="0.2">
      <c r="B7838" t="str">
        <f>"95"</f>
        <v>95</v>
      </c>
      <c r="H7838" t="s">
        <v>5687</v>
      </c>
    </row>
    <row r="7839" spans="2:8" x14ac:dyDescent="0.2">
      <c r="C7839" t="str">
        <f>"951"</f>
        <v>951</v>
      </c>
      <c r="H7839" t="s">
        <v>5688</v>
      </c>
    </row>
    <row r="7840" spans="2:8" x14ac:dyDescent="0.2">
      <c r="D7840" t="str">
        <f>"9511"</f>
        <v>9511</v>
      </c>
      <c r="H7840" t="s">
        <v>5689</v>
      </c>
    </row>
    <row r="7841" spans="3:8" x14ac:dyDescent="0.2">
      <c r="E7841" t="str">
        <f>"95110"</f>
        <v>95110</v>
      </c>
      <c r="H7841" t="s">
        <v>5689</v>
      </c>
    </row>
    <row r="7842" spans="3:8" x14ac:dyDescent="0.2">
      <c r="F7842" t="str">
        <f>"95110.0"</f>
        <v>95110.0</v>
      </c>
      <c r="H7842" t="s">
        <v>5689</v>
      </c>
    </row>
    <row r="7843" spans="3:8" x14ac:dyDescent="0.2">
      <c r="G7843" t="str">
        <f>"95110.00"</f>
        <v>95110.00</v>
      </c>
      <c r="H7843" t="s">
        <v>5689</v>
      </c>
    </row>
    <row r="7844" spans="3:8" x14ac:dyDescent="0.2">
      <c r="D7844" t="str">
        <f>"9512"</f>
        <v>9512</v>
      </c>
      <c r="H7844" t="s">
        <v>5690</v>
      </c>
    </row>
    <row r="7845" spans="3:8" x14ac:dyDescent="0.2">
      <c r="E7845" t="str">
        <f>"95120"</f>
        <v>95120</v>
      </c>
      <c r="H7845" t="s">
        <v>5690</v>
      </c>
    </row>
    <row r="7846" spans="3:8" x14ac:dyDescent="0.2">
      <c r="F7846" t="str">
        <f>"95120.0"</f>
        <v>95120.0</v>
      </c>
      <c r="H7846" t="s">
        <v>5690</v>
      </c>
    </row>
    <row r="7847" spans="3:8" x14ac:dyDescent="0.2">
      <c r="G7847" t="str">
        <f>"95120.00"</f>
        <v>95120.00</v>
      </c>
      <c r="H7847" t="s">
        <v>5690</v>
      </c>
    </row>
    <row r="7848" spans="3:8" x14ac:dyDescent="0.2">
      <c r="C7848" t="str">
        <f>"952"</f>
        <v>952</v>
      </c>
      <c r="H7848" t="s">
        <v>5691</v>
      </c>
    </row>
    <row r="7849" spans="3:8" x14ac:dyDescent="0.2">
      <c r="D7849" t="str">
        <f>"9521"</f>
        <v>9521</v>
      </c>
      <c r="H7849" t="s">
        <v>5692</v>
      </c>
    </row>
    <row r="7850" spans="3:8" x14ac:dyDescent="0.2">
      <c r="E7850" t="str">
        <f>"95210"</f>
        <v>95210</v>
      </c>
      <c r="H7850" t="s">
        <v>5692</v>
      </c>
    </row>
    <row r="7851" spans="3:8" x14ac:dyDescent="0.2">
      <c r="F7851" t="str">
        <f>"95210.0"</f>
        <v>95210.0</v>
      </c>
      <c r="H7851" t="s">
        <v>5692</v>
      </c>
    </row>
    <row r="7852" spans="3:8" x14ac:dyDescent="0.2">
      <c r="G7852" t="str">
        <f>"95210.00"</f>
        <v>95210.00</v>
      </c>
      <c r="H7852" t="s">
        <v>5692</v>
      </c>
    </row>
    <row r="7853" spans="3:8" x14ac:dyDescent="0.2">
      <c r="D7853" t="str">
        <f>"9522"</f>
        <v>9522</v>
      </c>
      <c r="H7853" t="s">
        <v>5693</v>
      </c>
    </row>
    <row r="7854" spans="3:8" x14ac:dyDescent="0.2">
      <c r="E7854" t="str">
        <f>"95220"</f>
        <v>95220</v>
      </c>
      <c r="H7854" t="s">
        <v>5693</v>
      </c>
    </row>
    <row r="7855" spans="3:8" x14ac:dyDescent="0.2">
      <c r="F7855" t="str">
        <f>"95220.0"</f>
        <v>95220.0</v>
      </c>
      <c r="H7855" t="s">
        <v>5693</v>
      </c>
    </row>
    <row r="7856" spans="3:8" x14ac:dyDescent="0.2">
      <c r="G7856" t="str">
        <f>"95220.00"</f>
        <v>95220.00</v>
      </c>
      <c r="H7856" t="s">
        <v>5693</v>
      </c>
    </row>
    <row r="7857" spans="4:8" x14ac:dyDescent="0.2">
      <c r="D7857" t="str">
        <f>"9523"</f>
        <v>9523</v>
      </c>
      <c r="H7857" t="s">
        <v>5694</v>
      </c>
    </row>
    <row r="7858" spans="4:8" x14ac:dyDescent="0.2">
      <c r="E7858" t="str">
        <f>"95230"</f>
        <v>95230</v>
      </c>
      <c r="H7858" t="s">
        <v>5694</v>
      </c>
    </row>
    <row r="7859" spans="4:8" x14ac:dyDescent="0.2">
      <c r="F7859" t="str">
        <f>"95230.0"</f>
        <v>95230.0</v>
      </c>
      <c r="H7859" t="s">
        <v>5694</v>
      </c>
    </row>
    <row r="7860" spans="4:8" x14ac:dyDescent="0.2">
      <c r="G7860" t="str">
        <f>"95230.00"</f>
        <v>95230.00</v>
      </c>
      <c r="H7860" t="s">
        <v>5695</v>
      </c>
    </row>
    <row r="7861" spans="4:8" x14ac:dyDescent="0.2">
      <c r="D7861" t="str">
        <f>"9524"</f>
        <v>9524</v>
      </c>
      <c r="H7861" t="s">
        <v>5696</v>
      </c>
    </row>
    <row r="7862" spans="4:8" x14ac:dyDescent="0.2">
      <c r="E7862" t="str">
        <f>"95240"</f>
        <v>95240</v>
      </c>
      <c r="H7862" t="s">
        <v>5696</v>
      </c>
    </row>
    <row r="7863" spans="4:8" x14ac:dyDescent="0.2">
      <c r="F7863" t="str">
        <f>"95240.0"</f>
        <v>95240.0</v>
      </c>
      <c r="H7863" t="s">
        <v>5697</v>
      </c>
    </row>
    <row r="7864" spans="4:8" x14ac:dyDescent="0.2">
      <c r="G7864" t="str">
        <f>"95240.00"</f>
        <v>95240.00</v>
      </c>
      <c r="H7864" t="s">
        <v>5697</v>
      </c>
    </row>
    <row r="7865" spans="4:8" x14ac:dyDescent="0.2">
      <c r="D7865" t="str">
        <f>"9529"</f>
        <v>9529</v>
      </c>
      <c r="H7865" t="s">
        <v>5698</v>
      </c>
    </row>
    <row r="7866" spans="4:8" x14ac:dyDescent="0.2">
      <c r="E7866" t="str">
        <f>"95291"</f>
        <v>95291</v>
      </c>
      <c r="H7866" t="s">
        <v>5699</v>
      </c>
    </row>
    <row r="7867" spans="4:8" x14ac:dyDescent="0.2">
      <c r="F7867" t="str">
        <f>"95291.0"</f>
        <v>95291.0</v>
      </c>
      <c r="H7867" t="s">
        <v>5699</v>
      </c>
    </row>
    <row r="7868" spans="4:8" x14ac:dyDescent="0.2">
      <c r="G7868" t="str">
        <f>"95291.00"</f>
        <v>95291.00</v>
      </c>
      <c r="H7868" t="s">
        <v>5699</v>
      </c>
    </row>
    <row r="7869" spans="4:8" x14ac:dyDescent="0.2">
      <c r="E7869" t="str">
        <f>"95292"</f>
        <v>95292</v>
      </c>
      <c r="H7869" t="s">
        <v>5700</v>
      </c>
    </row>
    <row r="7870" spans="4:8" x14ac:dyDescent="0.2">
      <c r="F7870" t="str">
        <f>"95292.0"</f>
        <v>95292.0</v>
      </c>
      <c r="H7870" t="s">
        <v>5700</v>
      </c>
    </row>
    <row r="7871" spans="4:8" x14ac:dyDescent="0.2">
      <c r="G7871" t="str">
        <f>"95292.00"</f>
        <v>95292.00</v>
      </c>
      <c r="H7871" t="s">
        <v>5700</v>
      </c>
    </row>
    <row r="7872" spans="4:8" x14ac:dyDescent="0.2">
      <c r="E7872" t="str">
        <f>"95293"</f>
        <v>95293</v>
      </c>
      <c r="H7872" t="s">
        <v>5701</v>
      </c>
    </row>
    <row r="7873" spans="2:8" x14ac:dyDescent="0.2">
      <c r="F7873" t="str">
        <f>"95293.0"</f>
        <v>95293.0</v>
      </c>
      <c r="H7873" t="s">
        <v>5701</v>
      </c>
    </row>
    <row r="7874" spans="2:8" x14ac:dyDescent="0.2">
      <c r="G7874" t="str">
        <f>"95293.00"</f>
        <v>95293.00</v>
      </c>
      <c r="H7874" t="s">
        <v>5701</v>
      </c>
    </row>
    <row r="7875" spans="2:8" x14ac:dyDescent="0.2">
      <c r="E7875" t="str">
        <f>"95294"</f>
        <v>95294</v>
      </c>
      <c r="H7875" t="s">
        <v>5702</v>
      </c>
    </row>
    <row r="7876" spans="2:8" x14ac:dyDescent="0.2">
      <c r="F7876" t="str">
        <f>"95294.0"</f>
        <v>95294.0</v>
      </c>
      <c r="H7876" t="s">
        <v>5702</v>
      </c>
    </row>
    <row r="7877" spans="2:8" x14ac:dyDescent="0.2">
      <c r="G7877" t="str">
        <f>"95294.00"</f>
        <v>95294.00</v>
      </c>
      <c r="H7877" t="s">
        <v>5702</v>
      </c>
    </row>
    <row r="7878" spans="2:8" x14ac:dyDescent="0.2">
      <c r="E7878" t="str">
        <f>"95295"</f>
        <v>95295</v>
      </c>
      <c r="H7878" t="s">
        <v>5703</v>
      </c>
    </row>
    <row r="7879" spans="2:8" x14ac:dyDescent="0.2">
      <c r="F7879" t="str">
        <f>"95295.0"</f>
        <v>95295.0</v>
      </c>
      <c r="H7879" t="s">
        <v>5704</v>
      </c>
    </row>
    <row r="7880" spans="2:8" x14ac:dyDescent="0.2">
      <c r="G7880" t="str">
        <f>"95295.00"</f>
        <v>95295.00</v>
      </c>
      <c r="H7880" t="s">
        <v>5704</v>
      </c>
    </row>
    <row r="7881" spans="2:8" x14ac:dyDescent="0.2">
      <c r="E7881" t="str">
        <f>"95299"</f>
        <v>95299</v>
      </c>
      <c r="H7881" t="s">
        <v>5705</v>
      </c>
    </row>
    <row r="7882" spans="2:8" x14ac:dyDescent="0.2">
      <c r="F7882" t="str">
        <f>"95299.0"</f>
        <v>95299.0</v>
      </c>
      <c r="H7882" t="s">
        <v>5705</v>
      </c>
    </row>
    <row r="7883" spans="2:8" x14ac:dyDescent="0.2">
      <c r="G7883" t="str">
        <f>"95299.01"</f>
        <v>95299.01</v>
      </c>
      <c r="H7883" t="s">
        <v>5706</v>
      </c>
    </row>
    <row r="7884" spans="2:8" x14ac:dyDescent="0.2">
      <c r="G7884" t="str">
        <f>"95299.09"</f>
        <v>95299.09</v>
      </c>
      <c r="H7884" t="s">
        <v>5705</v>
      </c>
    </row>
    <row r="7885" spans="2:8" x14ac:dyDescent="0.2">
      <c r="B7885" t="str">
        <f>"96"</f>
        <v>96</v>
      </c>
      <c r="H7885" t="s">
        <v>5707</v>
      </c>
    </row>
    <row r="7886" spans="2:8" x14ac:dyDescent="0.2">
      <c r="C7886" t="str">
        <f>"961"</f>
        <v>961</v>
      </c>
      <c r="H7886" t="s">
        <v>5708</v>
      </c>
    </row>
    <row r="7887" spans="2:8" x14ac:dyDescent="0.2">
      <c r="D7887" t="str">
        <f>"9610"</f>
        <v>9610</v>
      </c>
      <c r="H7887" t="s">
        <v>5708</v>
      </c>
    </row>
    <row r="7888" spans="2:8" x14ac:dyDescent="0.2">
      <c r="E7888" t="str">
        <f>"96101"</f>
        <v>96101</v>
      </c>
      <c r="H7888" t="s">
        <v>5709</v>
      </c>
    </row>
    <row r="7889" spans="5:8" x14ac:dyDescent="0.2">
      <c r="F7889" t="str">
        <f>"96101.0"</f>
        <v>96101.0</v>
      </c>
      <c r="H7889" t="s">
        <v>5710</v>
      </c>
    </row>
    <row r="7890" spans="5:8" x14ac:dyDescent="0.2">
      <c r="G7890" t="str">
        <f>"96101.00"</f>
        <v>96101.00</v>
      </c>
      <c r="H7890" t="s">
        <v>5710</v>
      </c>
    </row>
    <row r="7891" spans="5:8" x14ac:dyDescent="0.2">
      <c r="E7891" t="str">
        <f>"96102"</f>
        <v>96102</v>
      </c>
      <c r="H7891" t="s">
        <v>5711</v>
      </c>
    </row>
    <row r="7892" spans="5:8" x14ac:dyDescent="0.2">
      <c r="F7892" t="str">
        <f>"96102.0"</f>
        <v>96102.0</v>
      </c>
      <c r="H7892" t="s">
        <v>5711</v>
      </c>
    </row>
    <row r="7893" spans="5:8" x14ac:dyDescent="0.2">
      <c r="G7893" t="str">
        <f>"96102.00"</f>
        <v>96102.00</v>
      </c>
      <c r="H7893" t="s">
        <v>5711</v>
      </c>
    </row>
    <row r="7894" spans="5:8" x14ac:dyDescent="0.2">
      <c r="E7894" t="str">
        <f>"96103"</f>
        <v>96103</v>
      </c>
      <c r="H7894" t="s">
        <v>5712</v>
      </c>
    </row>
    <row r="7895" spans="5:8" x14ac:dyDescent="0.2">
      <c r="F7895" t="str">
        <f>"96103.1"</f>
        <v>96103.1</v>
      </c>
      <c r="H7895" t="s">
        <v>5712</v>
      </c>
    </row>
    <row r="7896" spans="5:8" x14ac:dyDescent="0.2">
      <c r="G7896" t="str">
        <f>"96103.11"</f>
        <v>96103.11</v>
      </c>
      <c r="H7896" t="s">
        <v>5713</v>
      </c>
    </row>
    <row r="7897" spans="5:8" x14ac:dyDescent="0.2">
      <c r="G7897" t="str">
        <f>"96103.12"</f>
        <v>96103.12</v>
      </c>
      <c r="H7897" t="s">
        <v>5714</v>
      </c>
    </row>
    <row r="7898" spans="5:8" x14ac:dyDescent="0.2">
      <c r="F7898" t="str">
        <f>"96103.2"</f>
        <v>96103.2</v>
      </c>
      <c r="H7898" t="s">
        <v>5715</v>
      </c>
    </row>
    <row r="7899" spans="5:8" x14ac:dyDescent="0.2">
      <c r="G7899" t="str">
        <f>"96103.20"</f>
        <v>96103.20</v>
      </c>
      <c r="H7899" t="s">
        <v>5715</v>
      </c>
    </row>
    <row r="7900" spans="5:8" x14ac:dyDescent="0.2">
      <c r="E7900" t="str">
        <f>"96104"</f>
        <v>96104</v>
      </c>
      <c r="H7900" t="s">
        <v>5716</v>
      </c>
    </row>
    <row r="7901" spans="5:8" x14ac:dyDescent="0.2">
      <c r="F7901" t="str">
        <f>"96104.0"</f>
        <v>96104.0</v>
      </c>
      <c r="H7901" t="s">
        <v>5716</v>
      </c>
    </row>
    <row r="7902" spans="5:8" x14ac:dyDescent="0.2">
      <c r="G7902" t="str">
        <f>"96104.00"</f>
        <v>96104.00</v>
      </c>
      <c r="H7902" t="s">
        <v>5716</v>
      </c>
    </row>
    <row r="7903" spans="5:8" x14ac:dyDescent="0.2">
      <c r="E7903" t="str">
        <f>"96109"</f>
        <v>96109</v>
      </c>
      <c r="H7903" t="s">
        <v>5717</v>
      </c>
    </row>
    <row r="7904" spans="5:8" x14ac:dyDescent="0.2">
      <c r="F7904" t="str">
        <f>"96109.0"</f>
        <v>96109.0</v>
      </c>
      <c r="H7904" t="s">
        <v>5717</v>
      </c>
    </row>
    <row r="7905" spans="3:8" x14ac:dyDescent="0.2">
      <c r="G7905" t="str">
        <f>"96109.00"</f>
        <v>96109.00</v>
      </c>
      <c r="H7905" t="s">
        <v>5717</v>
      </c>
    </row>
    <row r="7906" spans="3:8" x14ac:dyDescent="0.2">
      <c r="C7906" t="str">
        <f>"962"</f>
        <v>962</v>
      </c>
      <c r="H7906" t="s">
        <v>5718</v>
      </c>
    </row>
    <row r="7907" spans="3:8" x14ac:dyDescent="0.2">
      <c r="D7907" t="str">
        <f>"9620"</f>
        <v>9620</v>
      </c>
      <c r="H7907" t="s">
        <v>5718</v>
      </c>
    </row>
    <row r="7908" spans="3:8" x14ac:dyDescent="0.2">
      <c r="E7908" t="str">
        <f>"96201"</f>
        <v>96201</v>
      </c>
      <c r="H7908" t="s">
        <v>5719</v>
      </c>
    </row>
    <row r="7909" spans="3:8" x14ac:dyDescent="0.2">
      <c r="F7909" t="str">
        <f>"96201.0"</f>
        <v>96201.0</v>
      </c>
      <c r="H7909" t="s">
        <v>5719</v>
      </c>
    </row>
    <row r="7910" spans="3:8" x14ac:dyDescent="0.2">
      <c r="G7910" t="str">
        <f>"96201.01"</f>
        <v>96201.01</v>
      </c>
      <c r="H7910" t="s">
        <v>5720</v>
      </c>
    </row>
    <row r="7911" spans="3:8" x14ac:dyDescent="0.2">
      <c r="G7911" t="str">
        <f>"96201.02"</f>
        <v>96201.02</v>
      </c>
      <c r="H7911" t="s">
        <v>5721</v>
      </c>
    </row>
    <row r="7912" spans="3:8" x14ac:dyDescent="0.2">
      <c r="G7912" t="str">
        <f>"96201.09"</f>
        <v>96201.09</v>
      </c>
      <c r="H7912" t="s">
        <v>5722</v>
      </c>
    </row>
    <row r="7913" spans="3:8" x14ac:dyDescent="0.2">
      <c r="E7913" t="str">
        <f>"96202"</f>
        <v>96202</v>
      </c>
      <c r="H7913" t="s">
        <v>5723</v>
      </c>
    </row>
    <row r="7914" spans="3:8" x14ac:dyDescent="0.2">
      <c r="F7914" t="str">
        <f>"96202.0"</f>
        <v>96202.0</v>
      </c>
      <c r="H7914" t="s">
        <v>5723</v>
      </c>
    </row>
    <row r="7915" spans="3:8" x14ac:dyDescent="0.2">
      <c r="G7915" t="str">
        <f>"96202.00"</f>
        <v>96202.00</v>
      </c>
      <c r="H7915" t="s">
        <v>5723</v>
      </c>
    </row>
    <row r="7916" spans="3:8" x14ac:dyDescent="0.2">
      <c r="E7916" t="str">
        <f>"96203"</f>
        <v>96203</v>
      </c>
      <c r="H7916" t="s">
        <v>5724</v>
      </c>
    </row>
    <row r="7917" spans="3:8" x14ac:dyDescent="0.2">
      <c r="F7917" t="str">
        <f>"96203.0"</f>
        <v>96203.0</v>
      </c>
      <c r="H7917" t="s">
        <v>5724</v>
      </c>
    </row>
    <row r="7918" spans="3:8" x14ac:dyDescent="0.2">
      <c r="G7918" t="str">
        <f>"96203.00"</f>
        <v>96203.00</v>
      </c>
      <c r="H7918" t="s">
        <v>5724</v>
      </c>
    </row>
    <row r="7919" spans="3:8" x14ac:dyDescent="0.2">
      <c r="C7919" t="str">
        <f>"963"</f>
        <v>963</v>
      </c>
      <c r="H7919" t="s">
        <v>5725</v>
      </c>
    </row>
    <row r="7920" spans="3:8" x14ac:dyDescent="0.2">
      <c r="D7920" t="str">
        <f>"9630"</f>
        <v>9630</v>
      </c>
      <c r="H7920" t="s">
        <v>5725</v>
      </c>
    </row>
    <row r="7921" spans="5:8" x14ac:dyDescent="0.2">
      <c r="E7921" t="str">
        <f>"96301"</f>
        <v>96301</v>
      </c>
      <c r="H7921" t="s">
        <v>5726</v>
      </c>
    </row>
    <row r="7922" spans="5:8" x14ac:dyDescent="0.2">
      <c r="F7922" t="str">
        <f>"96301.0"</f>
        <v>96301.0</v>
      </c>
      <c r="H7922" t="s">
        <v>5726</v>
      </c>
    </row>
    <row r="7923" spans="5:8" x14ac:dyDescent="0.2">
      <c r="G7923" t="str">
        <f>"96301.01"</f>
        <v>96301.01</v>
      </c>
      <c r="H7923" t="s">
        <v>5727</v>
      </c>
    </row>
    <row r="7924" spans="5:8" x14ac:dyDescent="0.2">
      <c r="G7924" t="str">
        <f>"96301.02"</f>
        <v>96301.02</v>
      </c>
      <c r="H7924" t="s">
        <v>5728</v>
      </c>
    </row>
    <row r="7925" spans="5:8" x14ac:dyDescent="0.2">
      <c r="E7925" t="str">
        <f>"96302"</f>
        <v>96302</v>
      </c>
      <c r="H7925" t="s">
        <v>5729</v>
      </c>
    </row>
    <row r="7926" spans="5:8" x14ac:dyDescent="0.2">
      <c r="F7926" t="str">
        <f>"96302.0"</f>
        <v>96302.0</v>
      </c>
      <c r="H7926" t="s">
        <v>5729</v>
      </c>
    </row>
    <row r="7927" spans="5:8" x14ac:dyDescent="0.2">
      <c r="G7927" t="str">
        <f>"96302.00"</f>
        <v>96302.00</v>
      </c>
      <c r="H7927" t="s">
        <v>5729</v>
      </c>
    </row>
    <row r="7928" spans="5:8" x14ac:dyDescent="0.2">
      <c r="E7928" t="str">
        <f>"96303"</f>
        <v>96303</v>
      </c>
      <c r="H7928" t="s">
        <v>5730</v>
      </c>
    </row>
    <row r="7929" spans="5:8" x14ac:dyDescent="0.2">
      <c r="F7929" t="str">
        <f>"96303.0"</f>
        <v>96303.0</v>
      </c>
      <c r="H7929" t="s">
        <v>5731</v>
      </c>
    </row>
    <row r="7930" spans="5:8" x14ac:dyDescent="0.2">
      <c r="G7930" t="str">
        <f>"96303.00"</f>
        <v>96303.00</v>
      </c>
      <c r="H7930" t="s">
        <v>5731</v>
      </c>
    </row>
    <row r="7931" spans="5:8" x14ac:dyDescent="0.2">
      <c r="E7931" t="str">
        <f>"96304"</f>
        <v>96304</v>
      </c>
      <c r="H7931" t="s">
        <v>5732</v>
      </c>
    </row>
    <row r="7932" spans="5:8" x14ac:dyDescent="0.2">
      <c r="F7932" t="str">
        <f>"96304.0"</f>
        <v>96304.0</v>
      </c>
      <c r="H7932" t="s">
        <v>5732</v>
      </c>
    </row>
    <row r="7933" spans="5:8" x14ac:dyDescent="0.2">
      <c r="G7933" t="str">
        <f>"96304.00"</f>
        <v>96304.00</v>
      </c>
      <c r="H7933" t="s">
        <v>5732</v>
      </c>
    </row>
    <row r="7934" spans="5:8" x14ac:dyDescent="0.2">
      <c r="E7934" t="str">
        <f>"96305"</f>
        <v>96305</v>
      </c>
      <c r="H7934" t="s">
        <v>5733</v>
      </c>
    </row>
    <row r="7935" spans="5:8" x14ac:dyDescent="0.2">
      <c r="F7935" t="str">
        <f>"96305.0"</f>
        <v>96305.0</v>
      </c>
      <c r="H7935" t="s">
        <v>5733</v>
      </c>
    </row>
    <row r="7936" spans="5:8" x14ac:dyDescent="0.2">
      <c r="G7936" t="str">
        <f>"96305.00"</f>
        <v>96305.00</v>
      </c>
      <c r="H7936" t="s">
        <v>5733</v>
      </c>
    </row>
    <row r="7937" spans="1:8" x14ac:dyDescent="0.2">
      <c r="E7937" t="str">
        <f>"96309"</f>
        <v>96309</v>
      </c>
      <c r="H7937" t="s">
        <v>5725</v>
      </c>
    </row>
    <row r="7938" spans="1:8" x14ac:dyDescent="0.2">
      <c r="F7938" t="str">
        <f>"96309.0"</f>
        <v>96309.0</v>
      </c>
      <c r="H7938" t="s">
        <v>5725</v>
      </c>
    </row>
    <row r="7939" spans="1:8" x14ac:dyDescent="0.2">
      <c r="G7939" t="str">
        <f>"96309.00"</f>
        <v>96309.00</v>
      </c>
      <c r="H7939" t="s">
        <v>5725</v>
      </c>
    </row>
    <row r="7940" spans="1:8" x14ac:dyDescent="0.2">
      <c r="A7940" t="s">
        <v>5734</v>
      </c>
      <c r="H7940" t="s">
        <v>5735</v>
      </c>
    </row>
    <row r="7941" spans="1:8" x14ac:dyDescent="0.2">
      <c r="B7941" t="str">
        <f>"97"</f>
        <v>97</v>
      </c>
      <c r="H7941" t="s">
        <v>5736</v>
      </c>
    </row>
    <row r="7942" spans="1:8" x14ac:dyDescent="0.2">
      <c r="C7942" t="str">
        <f>"970"</f>
        <v>970</v>
      </c>
      <c r="H7942" t="s">
        <v>5736</v>
      </c>
    </row>
    <row r="7943" spans="1:8" x14ac:dyDescent="0.2">
      <c r="D7943" t="str">
        <f>"9700"</f>
        <v>9700</v>
      </c>
      <c r="H7943" t="s">
        <v>5736</v>
      </c>
    </row>
    <row r="7944" spans="1:8" x14ac:dyDescent="0.2">
      <c r="E7944" t="str">
        <f>"97000"</f>
        <v>97000</v>
      </c>
      <c r="H7944" t="s">
        <v>5736</v>
      </c>
    </row>
    <row r="7945" spans="1:8" x14ac:dyDescent="0.2">
      <c r="F7945" t="str">
        <f>"97000.0"</f>
        <v>97000.0</v>
      </c>
      <c r="H7945" t="s">
        <v>5736</v>
      </c>
    </row>
    <row r="7946" spans="1:8" x14ac:dyDescent="0.2">
      <c r="G7946" t="str">
        <f>"97000.00"</f>
        <v>97000.00</v>
      </c>
      <c r="H7946" t="s">
        <v>5736</v>
      </c>
    </row>
    <row r="7947" spans="1:8" x14ac:dyDescent="0.2">
      <c r="B7947" t="str">
        <f>"98"</f>
        <v>98</v>
      </c>
      <c r="H7947" t="s">
        <v>5737</v>
      </c>
    </row>
    <row r="7948" spans="1:8" x14ac:dyDescent="0.2">
      <c r="C7948" t="str">
        <f>"981"</f>
        <v>981</v>
      </c>
      <c r="H7948" t="s">
        <v>5738</v>
      </c>
    </row>
    <row r="7949" spans="1:8" x14ac:dyDescent="0.2">
      <c r="D7949" t="str">
        <f>"9810"</f>
        <v>9810</v>
      </c>
      <c r="H7949" t="s">
        <v>5738</v>
      </c>
    </row>
    <row r="7950" spans="1:8" x14ac:dyDescent="0.2">
      <c r="E7950" t="str">
        <f>"98100"</f>
        <v>98100</v>
      </c>
      <c r="H7950" t="s">
        <v>5738</v>
      </c>
    </row>
    <row r="7951" spans="1:8" x14ac:dyDescent="0.2">
      <c r="F7951" t="str">
        <f>"98100.0"</f>
        <v>98100.0</v>
      </c>
      <c r="H7951" t="s">
        <v>5738</v>
      </c>
    </row>
    <row r="7952" spans="1:8" x14ac:dyDescent="0.2">
      <c r="G7952" t="str">
        <f>"98100.00"</f>
        <v>98100.00</v>
      </c>
      <c r="H7952" t="s">
        <v>5738</v>
      </c>
    </row>
    <row r="7953" spans="1:8" x14ac:dyDescent="0.2">
      <c r="C7953" t="str">
        <f>"982"</f>
        <v>982</v>
      </c>
      <c r="H7953" t="s">
        <v>5739</v>
      </c>
    </row>
    <row r="7954" spans="1:8" x14ac:dyDescent="0.2">
      <c r="D7954" t="str">
        <f>"9820"</f>
        <v>9820</v>
      </c>
      <c r="H7954" t="s">
        <v>5739</v>
      </c>
    </row>
    <row r="7955" spans="1:8" x14ac:dyDescent="0.2">
      <c r="E7955" t="str">
        <f>"98200 "</f>
        <v xml:space="preserve">98200 </v>
      </c>
      <c r="H7955" t="s">
        <v>5739</v>
      </c>
    </row>
    <row r="7956" spans="1:8" x14ac:dyDescent="0.2">
      <c r="F7956" t="str">
        <f>"98200.0"</f>
        <v>98200.0</v>
      </c>
      <c r="H7956" t="s">
        <v>5739</v>
      </c>
    </row>
    <row r="7957" spans="1:8" x14ac:dyDescent="0.2">
      <c r="G7957" t="str">
        <f>"98200.00"</f>
        <v>98200.00</v>
      </c>
      <c r="H7957" t="s">
        <v>5739</v>
      </c>
    </row>
    <row r="7958" spans="1:8" x14ac:dyDescent="0.2">
      <c r="A7958" t="s">
        <v>5740</v>
      </c>
      <c r="H7958" t="s">
        <v>5741</v>
      </c>
    </row>
    <row r="7959" spans="1:8" x14ac:dyDescent="0.2">
      <c r="B7959" t="str">
        <f>"99"</f>
        <v>99</v>
      </c>
      <c r="H7959" t="s">
        <v>5741</v>
      </c>
    </row>
    <row r="7960" spans="1:8" x14ac:dyDescent="0.2">
      <c r="C7960" t="str">
        <f>"990"</f>
        <v>990</v>
      </c>
      <c r="H7960" t="s">
        <v>5741</v>
      </c>
    </row>
    <row r="7961" spans="1:8" x14ac:dyDescent="0.2">
      <c r="D7961" t="str">
        <f>"9900"</f>
        <v>9900</v>
      </c>
      <c r="H7961" t="s">
        <v>5741</v>
      </c>
    </row>
    <row r="7962" spans="1:8" x14ac:dyDescent="0.2">
      <c r="E7962" t="str">
        <f>"99001"</f>
        <v>99001</v>
      </c>
      <c r="H7962" t="s">
        <v>5742</v>
      </c>
    </row>
    <row r="7963" spans="1:8" x14ac:dyDescent="0.2">
      <c r="F7963" t="str">
        <f>"99001.0"</f>
        <v>99001.0</v>
      </c>
      <c r="H7963" t="s">
        <v>5743</v>
      </c>
    </row>
    <row r="7964" spans="1:8" x14ac:dyDescent="0.2">
      <c r="G7964" t="str">
        <f>"99001.00"</f>
        <v>99001.00</v>
      </c>
      <c r="H7964" t="s">
        <v>5743</v>
      </c>
    </row>
    <row r="7965" spans="1:8" x14ac:dyDescent="0.2">
      <c r="E7965" t="str">
        <f>"99009"</f>
        <v>99009</v>
      </c>
      <c r="H7965" t="s">
        <v>5744</v>
      </c>
    </row>
    <row r="7966" spans="1:8" x14ac:dyDescent="0.2">
      <c r="F7966" t="str">
        <f>"99009.0"</f>
        <v>99009.0</v>
      </c>
      <c r="H7966" t="s">
        <v>5744</v>
      </c>
    </row>
    <row r="7967" spans="1:8" x14ac:dyDescent="0.2">
      <c r="G7967" t="str">
        <f>"99009.00"</f>
        <v>99009.00</v>
      </c>
      <c r="H7967" t="s">
        <v>5744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CPA 2011 NSO Version ปี 2554 ฉบ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2015-11-10T06:44:39Z</dcterms:created>
  <dcterms:modified xsi:type="dcterms:W3CDTF">2015-11-10T06:44:39Z</dcterms:modified>
</cp:coreProperties>
</file>